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460" firstSheet="6" activeTab="6"/>
  </bookViews>
  <sheets>
    <sheet name="Лист1" sheetId="1" r:id="rId1"/>
    <sheet name="Лист2" sheetId="2" r:id="rId2"/>
    <sheet name="бюдж розв 08" sheetId="3" r:id="rId3"/>
    <sheet name="бюдж розв 08 зміни(липень) " sheetId="4" r:id="rId4"/>
    <sheet name="бюдж розв 08 змін(грудень)" sheetId="5" r:id="rId5"/>
    <sheet name="БР 2010  (Зміни  липень)" sheetId="6" r:id="rId6"/>
    <sheet name="жовтень 2013" sheetId="7" r:id="rId7"/>
  </sheets>
  <definedNames>
    <definedName name="_xlnm.Print_Titles" localSheetId="6">'жовтень 2013'!$16:$16</definedName>
    <definedName name="_xlnm.Print_Titles" localSheetId="1">'Лист2'!$10:$10</definedName>
    <definedName name="_xlnm.Print_Area" localSheetId="5">'БР 2010  (Зміни  липень)'!$A$1:$L$34</definedName>
    <definedName name="_xlnm.Print_Area" localSheetId="4">'бюдж розв 08 змін(грудень)'!$A$1:$M$42</definedName>
    <definedName name="_xlnm.Print_Area" localSheetId="3">'бюдж розв 08 зміни(липень) '!$A$1:$H$48</definedName>
    <definedName name="_xlnm.Print_Area" localSheetId="6">'жовтень 2013'!$A$1:$G$128</definedName>
    <definedName name="_xlnm.Print_Area" localSheetId="0">'Лист1'!$A$1:$F$31</definedName>
    <definedName name="_xlnm.Print_Area" localSheetId="1">'Лист2'!$A$1:$I$57</definedName>
  </definedNames>
  <calcPr fullCalcOnLoad="1"/>
</workbook>
</file>

<file path=xl/sharedStrings.xml><?xml version="1.0" encoding="utf-8"?>
<sst xmlns="http://schemas.openxmlformats.org/spreadsheetml/2006/main" count="525" uniqueCount="369">
  <si>
    <t>Код розпорядника коштів (КФКВ)</t>
  </si>
  <si>
    <t>Назва розпорядника коштів, назва об'єкту відповідно проектно-кошторисної документації, тощо</t>
  </si>
  <si>
    <t>Всього видатків на поточний рік</t>
  </si>
  <si>
    <t>У тому числі на погашення заборгованості, що утворилася на початок року.</t>
  </si>
  <si>
    <t>Відсоток завершеності будівництва об'єкту (інших направлень) на початок планового бюджетного року</t>
  </si>
  <si>
    <t>Всього  видатків на завершення будівництва об'єкту (інших направлень) на майбутні роки</t>
  </si>
  <si>
    <t>1. Відділ капітального будівництва - всього, в тому числі:</t>
  </si>
  <si>
    <t>Реконструкція (розширення) міського цвинтаря</t>
  </si>
  <si>
    <t>Дольва участь у добудові вбудовано-прибудованого приміщення в ж/будинку № 3 в ІІІ кварталі.</t>
  </si>
  <si>
    <t>Розроблення проектно-кошторисної документації для влаштування резервного водопостачання</t>
  </si>
  <si>
    <t>2. Відділ житлово-комунального господарства - всього, в тому числі:</t>
  </si>
  <si>
    <t>РАЗОМ</t>
  </si>
  <si>
    <t>Начальник фінансового управління</t>
  </si>
  <si>
    <t>тис. грн.</t>
  </si>
  <si>
    <t>ПЕРЕЛІК ОБ'ЄКТІВ,</t>
  </si>
  <si>
    <t>видатки на які у 2003 році будуть проводитися за рахунок коштів бюджету розвитку</t>
  </si>
  <si>
    <t>Будівництво меморіалу воїнам-визволітелям (стела)</t>
  </si>
  <si>
    <t>Дольова участь у добудові будівлі ЮУ МВ УМВС</t>
  </si>
  <si>
    <t xml:space="preserve">Придбання житла </t>
  </si>
  <si>
    <t>150101 (0490) КЕК 2123</t>
  </si>
  <si>
    <t>150101 (0490)  КЕК 2123</t>
  </si>
  <si>
    <t>150101 (0490) КЕК 2121</t>
  </si>
  <si>
    <t xml:space="preserve">Реконструкція гуртожитків, що належить до комунальної власності територіальної громади міста, всього  в т.ч.: </t>
  </si>
  <si>
    <t xml:space="preserve">150101 (0490) </t>
  </si>
  <si>
    <t>КЕК 2121</t>
  </si>
  <si>
    <t>Гуртожиток № 2</t>
  </si>
  <si>
    <t>КЕК 2123</t>
  </si>
  <si>
    <t>блок-вставка гуртожитку № 7/8</t>
  </si>
  <si>
    <t>блок-обслуговування гуртожитку № 7/8</t>
  </si>
  <si>
    <t>Будівництво житла (будівництво мансардових поверхів)</t>
  </si>
  <si>
    <t xml:space="preserve">150101 (0490)  </t>
  </si>
  <si>
    <t>будівництво громадського пункту</t>
  </si>
  <si>
    <t>влаштування дитячого ігрового майдану (катка)</t>
  </si>
  <si>
    <t>Будівництво ангару для техніки комунального підприємства "Автотранс", розташованого на території ВАТ "Гард-автотранс"</t>
  </si>
  <si>
    <t>Розроблення проекту "Заземлення та захисту від блискавки на житлових будинках м.Южноукраїнська"</t>
  </si>
  <si>
    <t>Реконструкція приміщень адміністративно-виробничої будівлі по бульвару Цвіточному,4</t>
  </si>
  <si>
    <t>Розроблення проектної документації для виконання робіт по модернізації та переобладнанню інженерних мереж тепло-,водопостачання та водовідведення</t>
  </si>
  <si>
    <t>180109 (0490) КЕК 1170</t>
  </si>
  <si>
    <t xml:space="preserve">Розробка проекту моделі  комплексного, етапного реформування житлово-комунальної сфери монофункціонального міста на території якого  розташована діюча АЕС </t>
  </si>
  <si>
    <t>3. Відділ комунального майна міськвиконкому - всього, в тому числі:</t>
  </si>
  <si>
    <t>180109 (0490) КЕК 2410</t>
  </si>
  <si>
    <t xml:space="preserve">Придбання, всього в т.ч.:     </t>
  </si>
  <si>
    <t>150101  (0490) КЕК 2123</t>
  </si>
  <si>
    <t>150101  (0490) КЕК 2121</t>
  </si>
  <si>
    <t>Придбання  в комунальну власність територіальної громади міста об'екта "Критий ринок"</t>
  </si>
  <si>
    <t>Уточнена сума  бюджету розвитку на поточний рік</t>
  </si>
  <si>
    <t>Влаштування інженерних мереж  приватного сектору по вул.Котовского</t>
  </si>
  <si>
    <t>Будівництво  комплексу споруд на меморіальному комплексі, в т.ч.:</t>
  </si>
  <si>
    <t>Будівництво сцени на  території меморіалу воїнам-визволителям (3-й пусковий комплекс)</t>
  </si>
  <si>
    <t>Ліквідація  ОНБ "Школа №5 в 5-му мікрорайоні блоки 1,2,3"</t>
  </si>
  <si>
    <t>Будівництво майданчиків під музей "Козацької слави та військової техніки"</t>
  </si>
  <si>
    <t xml:space="preserve">Будівництво спуску до міського пляжу,  в т.ч.  проведення ел. мережі   </t>
  </si>
  <si>
    <t>Загальний обсяг фінансування будівництва з урахуванням минулих років</t>
  </si>
  <si>
    <t>Начальник фінансового управління                                                С.В.Качко</t>
  </si>
  <si>
    <t>до  рішення ___сесії___скликання</t>
  </si>
  <si>
    <t>міської ради від_____№___</t>
  </si>
  <si>
    <t xml:space="preserve">Додаток № </t>
  </si>
  <si>
    <t>будівництво дитячих  ігрових  павільонів (кіосків)</t>
  </si>
  <si>
    <t>Проведення державної  експертизи  проектів та здійснення технічного обстеження будівель</t>
  </si>
  <si>
    <t>Модернізація та переобладнення  мереж водопостачання та водовідведення</t>
  </si>
  <si>
    <t xml:space="preserve">Придбання в комунальну власність територіальної громади міста об'єкту "Завод-комплекс по переробці с/г продукції" </t>
  </si>
  <si>
    <t>Оновлення  автомобільного парку комунальних підприємств (придбання транспорту,спеціалізованої автотехніки, обладнання)</t>
  </si>
  <si>
    <t xml:space="preserve">                 мікроавтобусів;</t>
  </si>
  <si>
    <t xml:space="preserve">                 легковой автомобіль</t>
  </si>
  <si>
    <t xml:space="preserve">                 спецтехніки (сміттевози);</t>
  </si>
  <si>
    <t xml:space="preserve">                 катафалка</t>
  </si>
  <si>
    <t xml:space="preserve">                 матеріально-технічної  бази для нового            КП "Автотранс"(меблі, обладнення, кондиціонерів);</t>
  </si>
  <si>
    <t xml:space="preserve">                спеціалізованої  смітте-  та снігозбиральної  техніки, евроконтейнери   для  обслуговування  житлово-комунального господарства</t>
  </si>
  <si>
    <t xml:space="preserve">Перерозподіл  бюджетних призначень </t>
  </si>
  <si>
    <t>Будівництво майданчиків під музейний комплекс  "Козацької слави та військової техніки"</t>
  </si>
  <si>
    <t>Заступник міського голови -</t>
  </si>
  <si>
    <t>Разом:</t>
  </si>
  <si>
    <t>видатки на які у 2008 році  планується  проводити за рахунок  бюджету  розвитку</t>
  </si>
  <si>
    <t xml:space="preserve">За рахунок  надходжень від відчуження майна,  яке знаходиться в комунальній власності територіальної  громади міста </t>
  </si>
  <si>
    <t xml:space="preserve"> КФК, КЕКВ</t>
  </si>
  <si>
    <t xml:space="preserve">                                          до рішення _____сесії______скликання</t>
  </si>
  <si>
    <t xml:space="preserve">2. Реконструкція  приміщень адміністративно-виробничого комплексу по бульв. Цвіточному,9 , в т.ч. проектні роботи </t>
  </si>
  <si>
    <t>3. Реконструкція камер сміттезбірників  житлових будинків</t>
  </si>
  <si>
    <t>4. Коригування генерального плану міста ( 6 мікрорайон;3-4 квартал; територія від поста ДАІ (1-ий в"їзд в місто)  до бази ДПЕМ ВАТ "Атомсервіс" та звалище неділових відходів; 5-ий мікрорайон; район малоповерхової забудови між вул.№17  та автодорогою Ульянівка -Миколаїв)</t>
  </si>
  <si>
    <t>150101  2123</t>
  </si>
  <si>
    <t>5. Облаштування та будівництво пандусів, в т.ч. проектні роботи</t>
  </si>
  <si>
    <t xml:space="preserve">1. Зворотне засипання діючого полігону твердих побутових відходів (звалище) та його розширення </t>
  </si>
  <si>
    <t xml:space="preserve">      -    будівництво  ділянки  дороги  між вул. Набережної Енергетиків та вул. Дружби Народів в т.ч. проектні роботи </t>
  </si>
  <si>
    <t xml:space="preserve">  -  будівництво скверу на честь пам'яти Т.Г.Шевченко в 5-му мікрорайоні міста Южноукраїнська</t>
  </si>
  <si>
    <t xml:space="preserve">       -  будівництво двох ниток напірного колектору від КНС-3 до Ташлицького водосховища   (проектні роботи)</t>
  </si>
  <si>
    <t xml:space="preserve">      -   влаштування майданчиків під торгівлю сільськогосподарською продукцією з автомобільного транспорту </t>
  </si>
  <si>
    <t>Зміни                       +  "збільшення"                      -  "зменшення"</t>
  </si>
  <si>
    <t>150107     2121</t>
  </si>
  <si>
    <t>Управління розвитку інфраструктури  міської ради</t>
  </si>
  <si>
    <t>Управління житлово-комунального господарства міської ради</t>
  </si>
  <si>
    <t>Кошторисна вартість будівництва об'єкту</t>
  </si>
  <si>
    <t>Затверджено з урахуванням змін на 2008 рік</t>
  </si>
  <si>
    <t>150110  2143</t>
  </si>
  <si>
    <t>Затверджено видатків бюджету розвитку на поточний рік</t>
  </si>
  <si>
    <t>150101   2123</t>
  </si>
  <si>
    <t xml:space="preserve"> Зворотне засипання діючого полігону твердих побутових відходів (звалище) та його розширення </t>
  </si>
  <si>
    <t xml:space="preserve"> Реконструкція міського цвінтарю (розширення)</t>
  </si>
  <si>
    <t xml:space="preserve"> Реконструкція  приміщень адміністративно-виробничого комплексу по бульв. Цвіточному,9 , в т.ч. проектні роботи </t>
  </si>
  <si>
    <t xml:space="preserve"> Реконструкція камер сміттезбірників  житлових будинків</t>
  </si>
  <si>
    <t xml:space="preserve"> Інші об’єкти (напрями), в т.ч.:</t>
  </si>
  <si>
    <t>Разом</t>
  </si>
  <si>
    <t xml:space="preserve"> Коригування генерального плану міста ( 6 мікрорайон;3-4 квартал; територія від поста ДАІ (1-ий в"їзд в місто)  до бази ДПЕМ ВАТ "Атомсервіс" та звалище неділових відходів; 5-ий мікрорайон; район малоповерхової забудови між вул.№17  та автодорогою Ульянівка-Миколаїв</t>
  </si>
  <si>
    <t>Итого:</t>
  </si>
  <si>
    <r>
      <t xml:space="preserve"> Міська програма капітального будівництва об"ектів житлово-комунального господарства та соціальної інфраструктури міста Южноукраїнська на 2007-2010 роки, </t>
    </r>
    <r>
      <rPr>
        <sz val="20"/>
        <rFont val="Times New Roman"/>
        <family val="1"/>
      </rPr>
      <t xml:space="preserve">  в т.ч.:  придбання житла військовослужбовцям та  особам рядового і начальницького складу, 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 , а також учасникам  бойових дій  в Афганістані  та воєнних конфліктів (за рахунок коштів субвенції з державного бюджету  місцевим бюджетам)</t>
    </r>
  </si>
  <si>
    <r>
      <t xml:space="preserve"> </t>
    </r>
    <r>
      <rPr>
        <b/>
        <sz val="20"/>
        <rFont val="Times New Roman"/>
        <family val="1"/>
      </rPr>
      <t>Міська програма капітального будівництва об"ектів житлово-комунального господарства та соціальної інфраструктури міста Южноукраїнська на 2007-2010 роки,</t>
    </r>
    <r>
      <rPr>
        <sz val="20"/>
        <rFont val="Times New Roman"/>
        <family val="1"/>
      </rPr>
      <t xml:space="preserve"> всього,   в т.ч.:   </t>
    </r>
  </si>
  <si>
    <t>Проведення невідкладних відновлювальних робіт, будівництво та  реконструкція  загальноосвітніх навчальних закладів  (реконструкція басейну ЗОШ № 2 )</t>
  </si>
  <si>
    <t xml:space="preserve">Проведення невідкладних відновлювальних робіт, будівництво та  реконструкція  загальноосвітніх навчальних закладів (реконструкція ЗОШ №1 по бульв. Курчатова, 8 в м.Южноукраїнську ) за рахунок коштів субвенції з державного бюджету місцевим бюджетам на соціально -економічний розвиток </t>
  </si>
  <si>
    <t>За рахунок коштів, що передаються із загального фонду бюджету до бюджету розвитку  (спеціального фонду), а також  за рахунок  коштів  субвенцій  з державного  та обласного бюджетів, що передаються   міському бюджету</t>
  </si>
  <si>
    <t>Уточнений  розподіл видатків на об"єкти,</t>
  </si>
  <si>
    <t>Затверджено з урахуванням змін на 2008 рік,                      у тому числі за рахунок:</t>
  </si>
  <si>
    <t>до рішення ______сесії У скликання</t>
  </si>
  <si>
    <t xml:space="preserve"> за рахунок коштів бюджету  розвитку міського бюджету</t>
  </si>
  <si>
    <t>Затверджено видатків бюджету розвитку  з урахуванням змін  на поточний рік</t>
  </si>
  <si>
    <t>Зміни              "збільшення"  +                      "зменшення"  -</t>
  </si>
  <si>
    <t>150101 (0490)</t>
  </si>
  <si>
    <t>150110 (0921)</t>
  </si>
  <si>
    <t xml:space="preserve">Будівництво скверу  на честь пам'яті Т.Г.Шевченка в 5-му мікрорайоні , в тому числі  корегування   проектнокошторисної  документації </t>
  </si>
  <si>
    <t xml:space="preserve">Добудова  скверу  № 2   в районі  Храма Христа Спасителя, в тому числі розробка проектної документації     </t>
  </si>
  <si>
    <t xml:space="preserve">Будівництво  полігону  твердих  побутових відходів в тому числі  розробка проектної документації  </t>
  </si>
  <si>
    <t>Добудова  об’єкту  незавершеного будівництва  "Дитяча лікарня"</t>
  </si>
  <si>
    <t>Добудова  об’єкту  незавершеного будівництва  "Автомобільна стоянка № 2, ІІ черга"</t>
  </si>
  <si>
    <t xml:space="preserve"> Будівництво спортивної зали  для  гімназії  № 1,  в тому числі  розробка  проектної документації </t>
  </si>
  <si>
    <t>Реконструкція міського цвинтарю (розширення),  в тому числі  розробка проектної документації  на влаштування  зовнішніх електричних мереж</t>
  </si>
  <si>
    <t>Разом видатків на поточний рік</t>
  </si>
  <si>
    <t>Назва об'єктів  відповідно до   проектно-кошторисної документації; найменування  інших капітальних видатків,  видів робіт, тощо</t>
  </si>
  <si>
    <t>Капітальний ремонт житлового фонду місцевих органів влади</t>
  </si>
  <si>
    <t>Програма стабілізації та соціально-економічного розвитку територій</t>
  </si>
  <si>
    <t>Управління житлово-комунального господарства та будівництва Южноукраїнської міської ради</t>
  </si>
  <si>
    <t>Теплові мережі</t>
  </si>
  <si>
    <t>Виконавчий комітет Южноукраїнської міської ради</t>
  </si>
  <si>
    <t xml:space="preserve">       до рішення Южноукраїнської       </t>
  </si>
  <si>
    <t>виготовлення та встановлення  малих архітектурних форм на території міста (памятного знаку жертвам голодомору), в тому числі  розробка проектно-кошторисної документації з урахуванням експертизи</t>
  </si>
  <si>
    <t xml:space="preserve">придбання в комунальну власність об"єкта державної власності, а саме об"єкта незавершеного будівництва "Дитяча  лікарня"  разом із земельною ділянкою, розташованого в м.Южноукраїнську за адресою вул.Паркова,8 </t>
  </si>
  <si>
    <t>розробка проектно-кошторисної документації з експертизою по будівництву соціального притулку для бездомних та бродячих тварин</t>
  </si>
  <si>
    <t>070201</t>
  </si>
  <si>
    <t>070101</t>
  </si>
  <si>
    <t xml:space="preserve">Дошкільні заклади освіти 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</si>
  <si>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</si>
  <si>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>110201</t>
  </si>
  <si>
    <t>110202</t>
  </si>
  <si>
    <t>Музеї і виставки</t>
  </si>
  <si>
    <t>Бібліотеки</t>
  </si>
  <si>
    <t>розробка проектно-кошторисної документації з урахуванням експертизи на реконструкцію майданчика біля житлового будинку по проспекту Леніна, 11 з облаштуванням міського фонтану</t>
  </si>
  <si>
    <t>75</t>
  </si>
  <si>
    <t>Фінансове управління  Южноукраїнської міської ради</t>
  </si>
  <si>
    <t>110205</t>
  </si>
  <si>
    <t xml:space="preserve">Школи естетичного виховання дітей </t>
  </si>
  <si>
    <t>Придбання музичних інструментів та капітальний ремонт актової зали  Комунального закладу "Дитяча школа мистецтв"</t>
  </si>
  <si>
    <t>Придбання  аварійно-рятувального обладнання, мультимедійного обладнання</t>
  </si>
  <si>
    <t>Придбання  медичного обладнання</t>
  </si>
  <si>
    <t xml:space="preserve">розроблення гідравлічного розрахунку  теплових мереж міста та інших приєднаних до них споживачів </t>
  </si>
  <si>
    <t>061007</t>
  </si>
  <si>
    <t xml:space="preserve">Інші правоохоронні заходи і заклади </t>
  </si>
  <si>
    <t xml:space="preserve">Придбання автомобіля </t>
  </si>
  <si>
    <t xml:space="preserve">Модернізація обладнання КНС-2 та господарчо-побутового колектору від приймальної камери КНС-2 до КК-230 в районі КНС-3 (вздовж вул Набережна Енергетиків зі сторони р. Південний Буг) м. Южноукраїнськ </t>
  </si>
  <si>
    <t>210110</t>
  </si>
  <si>
    <t xml:space="preserve">Придбання гідротермокостюму </t>
  </si>
  <si>
    <t xml:space="preserve">Заходи з організації рятування на водах </t>
  </si>
  <si>
    <t>капітальний ремонт дорожнього покриття  з улаштуванням лівневої каналізації по бульвару Курчатова, в т.ч. розробка проектно-кошторисної документації з урахуванням експертизи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</si>
  <si>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</si>
  <si>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>Розробка проектно-кошторисної документації та експертиза кошторисної документації на будівництво спортивної зали в гімназії №1 м.Южноукраїнська та улаштування  спортивних майданчиків в загальноосвітніх школах міста</t>
  </si>
  <si>
    <t>зворотнє засипання діючого полігону твердих побутових відходів (звалище) та його розширення</t>
  </si>
  <si>
    <t>встановлення обладнання  нових дитячих ігрових та спортивних майданчиків на прибудинкових територіях міста</t>
  </si>
  <si>
    <t>диспетчерізація системи тепло,-водоспоживання  житлового будинку за адресою вул . Дружби Народів,22 з влаштуванням  центральної  диспетчерської  в ТРП -1, в  т.ч. розробка проектно-кошторисної документації</t>
  </si>
  <si>
    <t>капітальний ремонт  трубопроводов  і запірної арматури магістральних теплових мереж в МК № 1,МК № № 20, 21, 23, 24</t>
  </si>
  <si>
    <t>встановлення  малих архитектурних форм (обладнання дитячих ігрових та спортивних майданчиків) на території міста</t>
  </si>
  <si>
    <t>проведення експертного обстеження ліфтів</t>
  </si>
  <si>
    <t xml:space="preserve">погашення кредиторської заборгованості за 2012 рік по улаштуванню поручнів до під'їздів житлових будинків  та техничного нагляду за виконаннням робіт по улаштуванню пандусу за адресою Цвіточний, 7 кв 76 </t>
  </si>
  <si>
    <t xml:space="preserve"> погашення кредиторської заборгованості за 2012 рік  по реконструкції міського цвинтаря (розширення) улаштування освітлення</t>
  </si>
  <si>
    <t xml:space="preserve"> придбання в комунальну власність нежитлової будівлі, розташованої в м.Южноукраїнську за адресою вул.Дружби Народів,35 "в" для розміщення відділу державної реєстарції актів цивільного стану м.Южноукраїнська </t>
  </si>
  <si>
    <t xml:space="preserve"> погашення кредиторської заборгованості за 2012 рік  по придбанню спеціальної багатофункціональної техніки для обслуговування об’єктів благоустрою міста ( трактора))</t>
  </si>
  <si>
    <t>Укріплення матеріально-технічної бази, вт.ч. погашення кредиторської заборгованості за 2012 рік  по придбанню кондиціонерів, системних блоків, сейфів  в сумі 18,401 тис.грн.</t>
  </si>
  <si>
    <t xml:space="preserve">погашення кредиторської заборгованості за 2012 рік  по придбанню кондиціонера   </t>
  </si>
  <si>
    <t xml:space="preserve"> погашення кредиторської заборгованості за 2012 рік  по придбанню кондиціонерів, комп"ютерів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</si>
  <si>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</si>
  <si>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</si>
  <si>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</si>
  <si>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</si>
  <si>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Група централізованого господарського обслуговування</t>
  </si>
  <si>
    <t>розробка (оновлення ) містобудівної документації генерального плану міста з урахуванням експертизи , в т.ч. погашення кредиторської заборгованості за 2012 рік в сумі 68,214 тис.грн.</t>
  </si>
  <si>
    <t>капітальний ремонт  адміністртивно-виробничої будівлі комунальної власності за адресою бульвар Цвіточний, 9, з урахуванням технічного освідчення будівельних конструкцій, в т.ч. погашення кредиторської заборгованості за 2012 рік по розробки проектно-кошторисної документації та капітальному ремонту зазначеної будівлі в сумі 277,66947 тис.грн.</t>
  </si>
  <si>
    <t xml:space="preserve">реконструкція магістральних трубопроводів теплотраси АЕС - місто з встановленням приладів обліку витрат теплової енергії м.Южноукраїнська , в т.ч. розробка проектно-кошторисної документації та її експертизи </t>
  </si>
  <si>
    <t>придбання подарунків творчим колективам міста до ювілейних дат  та погашення кредиторської заборгованості за 2012 рік  по придбанню комп"ютера    в сумі 5,0 тис.грн.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</si>
  <si>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</si>
  <si>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</si>
  <si>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реконструкція вулиці Молодіжної. Електроосвітлення, в т.ч. розробка проектно-кошторисної документації  та експертиза кошторисної документації та  погашення кредиторської заборгованості за 2012 рік  по геодезійно-топографічної зйомці в сумі 2,40593 тис.грн.</t>
  </si>
  <si>
    <t>капітальний ремонт системи гарячого водопостачання гуртожитку №8 за адресою вул. Дружби Народів, 1, в т.ч. розробка проектно-кошторисної документації та експертиза кошторисної документації</t>
  </si>
  <si>
    <t xml:space="preserve">встановлення критих зупинок в м.Южноукраїнську Миколаївської області (субвенція з державного бюджету  місцевим бюджетам на  здійснення  заходів  щодо соціально-економічного розвитку окремих територій)  </t>
  </si>
  <si>
    <t>придбання та встановлення МАФ на міському пляжі , лав  на території міста</t>
  </si>
  <si>
    <t>придбання та встановлення критих зупинок  громадського транспорту на території міста</t>
  </si>
  <si>
    <t xml:space="preserve"> реконструкція гуртожитку № 2 встановлення пасажирського ліфта в існуючу шахту, передбачену первинним проектом житлового будинку по вулиці Дружби Народів, 6  (Субвенція з державного бюджету  місцевим бюджетам на  здійснення  заходів  щодо соціально-економічного розвитку окремих територій)  </t>
  </si>
  <si>
    <t xml:space="preserve">встановлення обладнання  нових дитячих ігрових та спортивних майданчиків на прибудинкових територіях міста Южноукраїнська Миколаївській області (субвенція з державного бюджету  місцевим бюджетам на  здійснення  заходів  щодо соціально-економічного розвитку окремих територій)  </t>
  </si>
  <si>
    <t>придбання обладнення і предметів довгострокового користування (придбання мобільного телефону)</t>
  </si>
  <si>
    <t>придбання та встановлення біотуалетів пластикових "Євро-Стандарт"</t>
  </si>
  <si>
    <t>придбання шин для автотраспорту та механізмів, які будуть задіяні при виконанні робіт з утримання міських доріг та пішоходних доріжок в зимовий період</t>
  </si>
  <si>
    <t>091204</t>
  </si>
  <si>
    <t xml:space="preserve">Територіальні центри соціального обслуговування (надання соціальних послуг) </t>
  </si>
  <si>
    <t>розробка проектно-кошторисної документації по ремонту приміщень відділення соціальної реабілітації дітей-інвалідів по вул. Молодійжній, 5а</t>
  </si>
  <si>
    <t>придбання комп'ютера для стоврення реєстру хворих на туберкульоз</t>
  </si>
  <si>
    <t>капітального ремонту покрівлі житлового будинку по пр. Леніна ,27</t>
  </si>
  <si>
    <t>Придбання меблів, в т.ч. погашення кредиторської заборгованості за 2012 рік по придбанню кондиціонерів в сумі 18,434 тис.грн.</t>
  </si>
  <si>
    <t>придбання компьютерної техніки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</si>
  <si>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</si>
  <si>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</t>
  </si>
  <si>
    <t xml:space="preserve">                                                    </t>
  </si>
  <si>
    <t xml:space="preserve">        </t>
  </si>
  <si>
    <t>будівництво споруд технобізнесмолодіжного центру</t>
  </si>
  <si>
    <t>Реконструкція міських ринків КП "ЦМР", в т.ч. (розширення майданчиків торгівлі, влаштування  автостоянки,  влаштування  торгових павільонів, влаштування квіткових кіосків, розширення ринкової території)</t>
  </si>
  <si>
    <t>видатки на які у 2005 році будуть проводитися за рахунок коштів бюджету розвитку</t>
  </si>
  <si>
    <t>Будівництво мансардового  житла  (виготовлення робочого проекту)</t>
  </si>
  <si>
    <t>Реконструкція гуртожитків, що належить до комунальної власності територіальної громади міста, в т.ч. блок-обслуговування гуртожитку № 7/8</t>
  </si>
  <si>
    <t>Етапная  реконструкція, розширення ринків КП "Торгово-сервісний дім"</t>
  </si>
  <si>
    <t xml:space="preserve">Примітка:  </t>
  </si>
  <si>
    <t>Загальний обсяг  вартості  будівництва об'єктів</t>
  </si>
  <si>
    <t>міської ради від________№______</t>
  </si>
  <si>
    <t>тис.грн.</t>
  </si>
  <si>
    <t xml:space="preserve"> до рішення_____сесії_____скликання</t>
  </si>
  <si>
    <t>С.В.Качко</t>
  </si>
  <si>
    <t>Додаток  № 2</t>
  </si>
  <si>
    <t xml:space="preserve">    І.</t>
  </si>
  <si>
    <t>ІІ.</t>
  </si>
  <si>
    <t xml:space="preserve">1.Будівництво  та реконструкція  об'єктів запропонованих в таблиці  здійснювалось за рахунок коштів міського бюджету   на протязі 2002-2004 років. Дані об'єкти не введені в експлуатацію,    тому     для завершення їх будівництва   та здачі   в експлуатацію  пропонується передбачити   кошти по  бюджету розвитку  у 2005 році   в сумі 600,0 тис.грн.. </t>
  </si>
  <si>
    <t>№ з/п</t>
  </si>
  <si>
    <t>Кошти, що передаються із загального фонду бюджету до бюджету розвитку (спеціального фонду)</t>
  </si>
  <si>
    <t>1.</t>
  </si>
  <si>
    <t>2.</t>
  </si>
  <si>
    <t>3.</t>
  </si>
  <si>
    <t>4.</t>
  </si>
  <si>
    <t>5.</t>
  </si>
  <si>
    <t>Кошти від відчуження майна, яке знаходиться у комунальної власності територіальної громади міста</t>
  </si>
  <si>
    <t>Влаштування дитячого  ігрового майдану (катка)</t>
  </si>
  <si>
    <t>2. За 2001-2004 роки бюджет розвитку формувався відповідно  ст.71 Бюджетного кодексу України за рахунок коштів, що передаються із загального фонду бюджету до бюджету розвитку (спеціального фонду), в 2005 році пропонується формування  бюджету розвитку також і  за рахунок надходжень від приватизації об'єктів, які знаходяться у власності територіальної громади міста ( п.1 ст 71 БКУ кошти  від  відчуження майна, яке знаходиться   у комунальної власності). Перелік видатків під дані доходи  потребують визначення.</t>
  </si>
  <si>
    <t>6.</t>
  </si>
  <si>
    <t>1. Реконструкція міського цвінтарю (розширення)</t>
  </si>
  <si>
    <t>Управління розвитку інфраструктури міської ради</t>
  </si>
  <si>
    <t>150101  2143</t>
  </si>
  <si>
    <t xml:space="preserve">                      Додаток   4                                           </t>
  </si>
  <si>
    <t>Міська програма  підтримки житлово-комунального господарства міста Южноукраїнська на 2008-2010 роки, в т.ч.:</t>
  </si>
  <si>
    <t>Міська програма капітального будівництва об"ектів житлово-комунального господарства та соціальної інфраструктури міста Южноукраїнська на 2007-2010 роки,  всього в т.ч.:</t>
  </si>
  <si>
    <t>Назва головного розпорядника коштів, назва об'єкту відповідно проектно-кошторисної документації, тощо</t>
  </si>
  <si>
    <t>Всього видатків на 2008 рік</t>
  </si>
  <si>
    <t xml:space="preserve">Заступник  міського голови з питань діяльності </t>
  </si>
  <si>
    <t>виконавчих органів ради  - начальник</t>
  </si>
  <si>
    <t>фінансового управління Южноукраїнської міської ради</t>
  </si>
  <si>
    <t>6. Інші об’єкти (напрями), в т.ч.:</t>
  </si>
  <si>
    <t xml:space="preserve">                                               міської ради від __________________2008 року №_______</t>
  </si>
  <si>
    <t>0,0</t>
  </si>
  <si>
    <t>Розподіл видатків на об"єкти,</t>
  </si>
  <si>
    <t>фінансування яких у 2008 році  буде  проводитись  за рахунок коштів бюджету  розвитку</t>
  </si>
  <si>
    <t>Будівництво нового полігону твердих побутових відходів ( ТПВ) - дольова участь в т.ч.  проектні роботи</t>
  </si>
  <si>
    <t xml:space="preserve">Управління безперевної освіти і науки міської ради </t>
  </si>
  <si>
    <t xml:space="preserve">кошти співфінансування з державним бюджетом на виконання  реконструкції ЗОШ №1 по бульв. Курчатова, 8 в м.Южноукраїнську </t>
  </si>
  <si>
    <t xml:space="preserve">Проведення невідкладних відновлювальних робіт, будівництво та  реконструкція  загальноосвітніх навчальних закладів (реконструкція басейну ЗОШ №2) за рахунок коштів субвенції з обласного бюджету  </t>
  </si>
  <si>
    <t xml:space="preserve">                      Додаток  6                                        </t>
  </si>
  <si>
    <t>до рішення _____сесії У скликання</t>
  </si>
  <si>
    <t>міської ради від 17.07.2008 року №_______</t>
  </si>
  <si>
    <t xml:space="preserve">Заступник  міського голови з питань діяльності  виконавчих органів ради  - </t>
  </si>
  <si>
    <t>начальник  фінансового управління Южноукраїнської міської ради</t>
  </si>
  <si>
    <t xml:space="preserve">  - будівництво підпірних  землеукріплюючих  споруд на території міста </t>
  </si>
  <si>
    <t xml:space="preserve"> Коригування генерального плану міста ( 6 мікрорайон;3-4 квартал; територія від поста ДАІ (1-ий в"їзд в місто)  до бази ДПЕМ ВАТ "Атомсервіс" та звалище неділових відходів; 5-ий мікрорайон; район малоповерхової забудови між вул.№17  та автодорогою "Ульянівка-Миколаїв"</t>
  </si>
  <si>
    <t xml:space="preserve">                      Додаток 7                                       </t>
  </si>
  <si>
    <t xml:space="preserve"> з державного бюджету місцевим бюджетам на придбання  житла окремим категоріям громадян</t>
  </si>
  <si>
    <t xml:space="preserve">надходжень від відчуження майна, яке  знаходиться  в комунальній власності територіальної громади міста </t>
  </si>
  <si>
    <t>коштів, що передаються  із загального фонду бюджету  до бюджету розвитку (спеціального фонду)</t>
  </si>
  <si>
    <t>з обласного бюджету бюджету міста на виконання депутатами обласної ради наказів виборців для поліпшення матеріально-технічного стану установ освіти, охорони здоров"я, культури</t>
  </si>
  <si>
    <t>міської ради від  04.12.2008року   №_______</t>
  </si>
  <si>
    <t xml:space="preserve">                 фінансування яких у 2008 році  буде  проводитись  за рахунок коштів бюджету  розвитку</t>
  </si>
  <si>
    <t>субвенцій з державного бюджету місцевим бюджетам на соціально-економічний розвиток</t>
  </si>
  <si>
    <t>150110, 2143</t>
  </si>
  <si>
    <t xml:space="preserve">Реконструкція ЗОШ №1 по бульв. Курчатова, 8 в м.Южноукраїнську </t>
  </si>
  <si>
    <r>
      <t xml:space="preserve">Міська програма капітального будівництва об"ектів житлово-комунального господарства та соціальної інфраструктури міста Южноукраїнська на 2007-2010 роки,  в т.ч.:                                                                             </t>
    </r>
    <r>
      <rPr>
        <sz val="20"/>
        <rFont val="Times New Roman"/>
        <family val="1"/>
      </rPr>
      <t>Реконструкція системи водоочищення плавального басейну ЗОШ № 2</t>
    </r>
  </si>
  <si>
    <t>150110   2143</t>
  </si>
  <si>
    <r>
      <t xml:space="preserve"> </t>
    </r>
    <r>
      <rPr>
        <b/>
        <i/>
        <sz val="20"/>
        <rFont val="Times New Roman"/>
        <family val="1"/>
      </rPr>
      <t>Міська програма капітального будівництва об"ектів житлово-комунального господарства та соціальної інфраструктури міста Южноукраїнська на 2007-2010 роки,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 xml:space="preserve">  в т.ч.:                                                                      Придбання житла військовослужбовцям та  особам рядового і начальницького складу, звільненим у запас  або відставку за станом здоров"я, віком, вислугою  років та у звя"зку із скороченням штатів, які перебувають  на квартирному обліку за місцем проживання , членам сімей з числа цих осіб, які загинули під час виконання  ними службових обов"язків , а також  учасникам бойових дій в Афганістані та воєнних конфліктів </t>
    </r>
  </si>
  <si>
    <t>Всього:</t>
  </si>
  <si>
    <t xml:space="preserve">Додаток  </t>
  </si>
  <si>
    <t>міської ради  від           2010 року №___</t>
  </si>
  <si>
    <t>Код типової відомчої класифікації видатків місцевих бюджетів</t>
  </si>
  <si>
    <t>Код тимчасової класифікації видатків  та кредитування місцевих бюджетів</t>
  </si>
  <si>
    <t>Назва головного розпорядника бюджетних коштів</t>
  </si>
  <si>
    <t>Найменування коду тимчасової класифікації   видатків та кредитування  місцевих бюджетів</t>
  </si>
  <si>
    <t>Назва об'єктів  відповідно до   проектно-кошторисної документації, тощо</t>
  </si>
  <si>
    <t>Загальний обсяг фінансування будівництва</t>
  </si>
  <si>
    <t>Відсоток завершеності будівництва об'єктів (інших направлень) на початок планового бюджетного року</t>
  </si>
  <si>
    <t>Всього  видатків на завершення будівництва об'єктів (інших направлень) на майбутні роки</t>
  </si>
  <si>
    <t>Затверджено видатків   на поточний рік</t>
  </si>
  <si>
    <t xml:space="preserve">Капітальні вкладення </t>
  </si>
  <si>
    <t xml:space="preserve">Проведення невідкладних відновлювальних робіт, будівництво  та реконструкція  загальноосвітніх  навчальних закладів </t>
  </si>
  <si>
    <t>Уточнений перелік об’єктів, видатки на які у 2010 році будуть проводитися</t>
  </si>
  <si>
    <t>Розробка проектної документації для будівництва ділянки дороги між вул.Набережна енергетиків та вул.Дружби народів</t>
  </si>
  <si>
    <t>Зворотне засипання діючого полігону твердих побутових відходів (звалище) та його розширення</t>
  </si>
  <si>
    <t xml:space="preserve">Проведення невідкладних відновлювальних робіт, будівництво  та реконструкція лікарень загального профілю </t>
  </si>
  <si>
    <t>150114 (0731)</t>
  </si>
  <si>
    <t xml:space="preserve"> Реконструкція  покрівлі ЗОШ № 1 по бульвару Курчатова,8 в м.Южноукраїнську (кошти співфінансування із Стабілізаційним фондом Державного бюджету України, передбачених для реалізації інвестиційних проектів соціально-економічного розвитку регіонів)  </t>
  </si>
  <si>
    <t>Уточнена сума видатків затверджена на поточний  рік</t>
  </si>
  <si>
    <t xml:space="preserve">Зміни                      + збільшення;   - зменшення </t>
  </si>
  <si>
    <t xml:space="preserve">Благоустрій міст, сіл, селищ  </t>
  </si>
  <si>
    <t xml:space="preserve">180109 </t>
  </si>
  <si>
    <t>Всього, в тому числі по напрямам:</t>
  </si>
  <si>
    <t>Начальник фінансового управління Южноукраїнської міської ради</t>
  </si>
  <si>
    <t>03</t>
  </si>
  <si>
    <t>40</t>
  </si>
  <si>
    <t>010116</t>
  </si>
  <si>
    <t xml:space="preserve">Органи місцевого самоврядування </t>
  </si>
  <si>
    <t xml:space="preserve">Управління освіти Южноукраїнської міської ради </t>
  </si>
  <si>
    <t>10</t>
  </si>
  <si>
    <t>070805</t>
  </si>
  <si>
    <t xml:space="preserve">Управління молоді, спорту та культури  Южноукраїнської міської ради </t>
  </si>
  <si>
    <t>24</t>
  </si>
  <si>
    <t>130107</t>
  </si>
  <si>
    <t>Утримання та навчально-тренувальна робота дитячо-юнацьких  спортивних шкіл</t>
  </si>
  <si>
    <t>100202</t>
  </si>
  <si>
    <t>Водопровідно-каналізаційне господарство</t>
  </si>
  <si>
    <t>Управління з питань надзвичайних ситуацій, мобілізаційної роботи та взаємодії з правоохоронними органами Южноукраїнської міської ради</t>
  </si>
  <si>
    <t>67</t>
  </si>
  <si>
    <t>210105</t>
  </si>
  <si>
    <t xml:space="preserve">Видатки на запобігання та ліквідацію надзвичайних ситуацій та наслідків стихійного лиха </t>
  </si>
  <si>
    <t>Т.О.Гончарова</t>
  </si>
  <si>
    <t>розробка проектно-кошторисної документації з експертизою по будівництву спортивної зали в гімназії № 1 та улаштування спортивних майданчиків вї загальноосвітніх школах міста</t>
  </si>
  <si>
    <t>Управління праці та соціального захисту населення Южноукраїнської міської ради</t>
  </si>
  <si>
    <t>15</t>
  </si>
  <si>
    <t>Код  відомчої класифікації видатків місцевих бюджетів</t>
  </si>
  <si>
    <t>Назва головного розпорядника  коштів</t>
  </si>
  <si>
    <t xml:space="preserve"> Перелік об’єктів, видатки на які у 2013 році будуть проводитися</t>
  </si>
  <si>
    <t xml:space="preserve">      міської ради від                       2013 №</t>
  </si>
  <si>
    <t xml:space="preserve">Видатки на впровадження засобів обліку витрат та регулювання споживання води та теплової енергії </t>
  </si>
  <si>
    <t xml:space="preserve">розробки  проектної документації  по переоснащенню інженерного вводу теплопостачання житлових  будинків з встановленням приладів обліку  теплової енергії </t>
  </si>
  <si>
    <t>будівництво скверу  на честь пам'яті Т.Г.Шевченко в 5-му мікрорайоні м.Южноукраїнська , в т.ч. погашення кредиторської заборгованості за 2012 рік в сумі  273,53271 тис.грн.</t>
  </si>
  <si>
    <t>розробка проектно-кошторисної документації з урахуванням технічної експертизи  по реконструкції  об"єкта незавершеного будівництва "Дитяча  лікарня"  під житловий будинок з вбудованими громадськими приміщеннями , в т.ч. погашення кредиторської заборгованості за 2012 рік в сумі 38,09153 тис.грн.</t>
  </si>
  <si>
    <t>реконструкція гуртожитку, що належать до комунальної власності територіальної громади міста  за адресою вул.Комсомольська,3 з урахуванням проведення технічної експертизи стану будівельних конструкцій , розробки проектно-кошторисної документації та проведення її експертизи, в т.ч. погашення кредиторської заборгованості за 2012 рік  по розробці проектно-кошторисної документації та експертиза  нежитлових приміщень під житло в сумі 9,71442 тис.грн.</t>
  </si>
  <si>
    <t>11</t>
  </si>
  <si>
    <t>Южноукраїнський  міський центр соціальних служб для сім"ї, дітей та молоді</t>
  </si>
  <si>
    <t>091101</t>
  </si>
  <si>
    <t xml:space="preserve">Утримання центрів соціальних служб для сім'ї, дітей та молоді </t>
  </si>
  <si>
    <t>погашення кредиторської заборгованості за 2012 рік</t>
  </si>
  <si>
    <t xml:space="preserve">погашення кредиторської заборгованості за 2012 рік  </t>
  </si>
  <si>
    <t>110502</t>
  </si>
  <si>
    <t xml:space="preserve">Інші культурно-освітні заклади та заходи </t>
  </si>
  <si>
    <t>Всього , в тому числі по напрямам:</t>
  </si>
  <si>
    <t xml:space="preserve"> погашення кредиторської заборгованості за 2012 рік по придбанню кондиціонерів</t>
  </si>
  <si>
    <t>погашення кредиторської заборгованості за 2012 рік на придбання обігрівача УФО та музейних експонатів</t>
  </si>
  <si>
    <t xml:space="preserve">придбання комп"ютера    </t>
  </si>
  <si>
    <t xml:space="preserve">поповнення бібліотечного фонду, придбання  комп"ютерів </t>
  </si>
  <si>
    <t>капітальний ремонт ліфтів житлових будинків</t>
  </si>
  <si>
    <t>розробка проектно-кошторисної документації по улаштуванню пандусу до під'їзду №11 по проспекту Леніна,1</t>
  </si>
  <si>
    <t xml:space="preserve">Капітальний ремонт адміністративної будівлі виконавчого комітету Южноукраїнської міської ради, в т.ч.розробка проектно-кошторисної документації з урахуванням експертизи </t>
  </si>
  <si>
    <t>співфінансування    в рамках  реалізації проекта -переможця   Конкурсного відбору , а саме проект №  00690  "Сучасні підходи до енергозбереження в закладах освіти"</t>
  </si>
  <si>
    <t>придбання холодильника для зберігання медикаментів</t>
  </si>
  <si>
    <t>придбання  електрокардіографу  для дитячої поліклініки</t>
  </si>
  <si>
    <t>070807</t>
  </si>
  <si>
    <t>Інші освітні програми</t>
  </si>
  <si>
    <t>проведення ремонтних робіт в 2-х палатах паліативної допомоги на 2 ліжко-місця кожна</t>
  </si>
  <si>
    <t>придбання кондиціонера</t>
  </si>
  <si>
    <t>придбання комплекту  мультимедійного обладнання та комп"ютера</t>
  </si>
  <si>
    <t>поліпшення матеріально-технічної бази дошкільного навчального закладу №  8(субвенція з обласного бюджету на виконання депутатами обласної ради доручень виборців)</t>
  </si>
  <si>
    <t>придбання комп"ютерної техніки та системи озвучування  Южноукраїнської загальноосвітньої школи  І - ІІІ ступенів № 2 (субвенція з обласного бюджету на виконання депутатами обласної ради доручень виборців)</t>
  </si>
  <si>
    <t>Додаток  № 7</t>
  </si>
  <si>
    <t>придбання  холодильників та  кондиціонеру для пологового та інфекційного відділень</t>
  </si>
  <si>
    <t>Всього в тому числі за напрямами:</t>
  </si>
  <si>
    <t xml:space="preserve"> Придбання  аварійно-рятувального обладнання (бензорізак)  25-ої Державної пожежно-рятувальної частини Головного управління Державної Служби надзвичайних ситуацій України</t>
  </si>
  <si>
    <t xml:space="preserve">кошти для співфінансування  з  державним бюджетом на встановлення обладнання  нових дитячих ігрових та спортивних майданчиків на прибудинкових територіях міста </t>
  </si>
  <si>
    <t>кошти для співфінансування з державним бюджетом на встановлення зупинок громадського транспорту</t>
  </si>
  <si>
    <t>придбання устаткування ПГМ -10У (у комплекті) для напилення та заливки поліуретану, продуктивністю до 10 кг/хв.</t>
  </si>
  <si>
    <t>Капітальний ремонт трубопроводу холодного водопостачання по проспекту Леніна в 2-му мікрорайоні міста</t>
  </si>
  <si>
    <t xml:space="preserve"> погашення кредиторської заборгованості за 2012 рік </t>
  </si>
  <si>
    <t>капітальний ремонт приміщень адміністративної будівлі по бульвару Цвіточному,9</t>
  </si>
  <si>
    <t xml:space="preserve"> придбання тахографу для мікроавтобусу  дитячо-юнацької  спортивної школи</t>
  </si>
  <si>
    <t>капітального ремонту покрівлі  інфекційного відділення</t>
  </si>
  <si>
    <t>Придбання   компьютерної техніки,  спеціального обладнання  та системного блоку  для приймання сигналу відеоспостереження  Южноукраїнському  міському відділу управління Міністерства внутрішніх справ України в Миколаївській області</t>
  </si>
  <si>
    <t xml:space="preserve">  кошти для співфінансування  з державним бюджетом на виконання  реконструкції гуртожитку № 2 встановлення пасажирського ліфта в існуючу шахту, передбачену первинним проектом житлового будинку по вулиці Дружби Народів, 6,  в т.ч. розробка проектно-кошторисної документації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</si>
</sst>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%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_р_._-;\-* #,##0.00000_р_._-;_-* &quot;-&quot;?????_р_._-;_-@_-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sz val="14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22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0"/>
      <color indexed="8"/>
      <name val="Times New Roman"/>
      <family val="1"/>
    </font>
    <font>
      <b/>
      <sz val="20"/>
      <name val="Arial"/>
      <family val="2"/>
    </font>
    <font>
      <b/>
      <i/>
      <sz val="20"/>
      <name val="Times New Roman"/>
      <family val="1"/>
    </font>
    <font>
      <sz val="24"/>
      <name val="Times New Roman"/>
      <family val="1"/>
    </font>
    <font>
      <sz val="21"/>
      <name val="Arial Cyr"/>
      <family val="0"/>
    </font>
    <font>
      <sz val="24"/>
      <name val="Arial Cyr"/>
      <family val="0"/>
    </font>
    <font>
      <sz val="28"/>
      <name val="Arial Cyr"/>
      <family val="0"/>
    </font>
    <font>
      <b/>
      <sz val="28"/>
      <name val="Times New Roman"/>
      <family val="1"/>
    </font>
    <font>
      <sz val="16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28"/>
      <name val="Arial Cyr"/>
      <family val="0"/>
    </font>
    <font>
      <sz val="36"/>
      <name val="Times New Roman"/>
      <family val="1"/>
    </font>
    <font>
      <sz val="36"/>
      <name val="Arial Cyr"/>
      <family val="0"/>
    </font>
    <font>
      <sz val="2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0" fillId="0" borderId="11" xfId="0" applyNumberForma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7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0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172" fontId="7" fillId="0" borderId="15" xfId="0" applyNumberFormat="1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73" fontId="7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7" fillId="0" borderId="14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/>
    </xf>
    <xf numFmtId="172" fontId="7" fillId="0" borderId="18" xfId="0" applyNumberFormat="1" applyFont="1" applyBorder="1" applyAlignment="1">
      <alignment/>
    </xf>
    <xf numFmtId="172" fontId="7" fillId="0" borderId="11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0" fillId="0" borderId="15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173" fontId="0" fillId="0" borderId="11" xfId="0" applyNumberForma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72" fontId="14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2" fontId="16" fillId="0" borderId="0" xfId="0" applyNumberFormat="1" applyFont="1" applyBorder="1" applyAlignment="1">
      <alignment horizontal="center" wrapText="1"/>
    </xf>
    <xf numFmtId="172" fontId="16" fillId="0" borderId="0" xfId="0" applyNumberFormat="1" applyFont="1" applyBorder="1" applyAlignment="1">
      <alignment wrapText="1"/>
    </xf>
    <xf numFmtId="172" fontId="16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72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2" fontId="19" fillId="0" borderId="10" xfId="0" applyNumberFormat="1" applyFont="1" applyBorder="1" applyAlignment="1">
      <alignment horizontal="center" wrapText="1"/>
    </xf>
    <xf numFmtId="172" fontId="19" fillId="0" borderId="10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19" fillId="0" borderId="18" xfId="0" applyNumberFormat="1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72" fontId="23" fillId="0" borderId="20" xfId="0" applyNumberFormat="1" applyFont="1" applyBorder="1" applyAlignment="1">
      <alignment horizontal="center" wrapText="1"/>
    </xf>
    <xf numFmtId="172" fontId="23" fillId="0" borderId="21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2" fontId="22" fillId="0" borderId="10" xfId="0" applyNumberFormat="1" applyFont="1" applyBorder="1" applyAlignment="1">
      <alignment horizontal="left" wrapText="1"/>
    </xf>
    <xf numFmtId="0" fontId="15" fillId="0" borderId="0" xfId="0" applyFont="1" applyAlignment="1">
      <alignment horizontal="right"/>
    </xf>
    <xf numFmtId="3" fontId="19" fillId="0" borderId="12" xfId="0" applyNumberFormat="1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/>
    </xf>
    <xf numFmtId="172" fontId="20" fillId="0" borderId="1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172" fontId="20" fillId="0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wrapText="1"/>
    </xf>
    <xf numFmtId="172" fontId="20" fillId="0" borderId="0" xfId="0" applyNumberFormat="1" applyFont="1" applyBorder="1" applyAlignment="1">
      <alignment wrapText="1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72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72" fontId="23" fillId="0" borderId="18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172" fontId="27" fillId="0" borderId="10" xfId="0" applyNumberFormat="1" applyFont="1" applyBorder="1" applyAlignment="1">
      <alignment horizontal="center" wrapText="1"/>
    </xf>
    <xf numFmtId="172" fontId="27" fillId="0" borderId="18" xfId="0" applyNumberFormat="1" applyFont="1" applyBorder="1" applyAlignment="1">
      <alignment horizontal="center" wrapText="1"/>
    </xf>
    <xf numFmtId="3" fontId="27" fillId="0" borderId="18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172" fontId="26" fillId="0" borderId="10" xfId="0" applyNumberFormat="1" applyFont="1" applyFill="1" applyBorder="1" applyAlignment="1">
      <alignment horizontal="center" wrapText="1"/>
    </xf>
    <xf numFmtId="172" fontId="26" fillId="0" borderId="10" xfId="0" applyNumberFormat="1" applyFont="1" applyBorder="1" applyAlignment="1">
      <alignment horizontal="center"/>
    </xf>
    <xf numFmtId="172" fontId="26" fillId="0" borderId="18" xfId="0" applyNumberFormat="1" applyFont="1" applyBorder="1" applyAlignment="1">
      <alignment horizontal="center"/>
    </xf>
    <xf numFmtId="172" fontId="24" fillId="0" borderId="10" xfId="0" applyNumberFormat="1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2" fontId="28" fillId="0" borderId="10" xfId="0" applyNumberFormat="1" applyFont="1" applyBorder="1" applyAlignment="1">
      <alignment horizontal="left" wrapText="1"/>
    </xf>
    <xf numFmtId="172" fontId="29" fillId="0" borderId="10" xfId="0" applyNumberFormat="1" applyFont="1" applyBorder="1" applyAlignment="1">
      <alignment horizontal="center"/>
    </xf>
    <xf numFmtId="172" fontId="23" fillId="0" borderId="12" xfId="0" applyNumberFormat="1" applyFont="1" applyBorder="1" applyAlignment="1">
      <alignment horizontal="center"/>
    </xf>
    <xf numFmtId="172" fontId="23" fillId="0" borderId="23" xfId="0" applyNumberFormat="1" applyFont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172" fontId="26" fillId="0" borderId="12" xfId="0" applyNumberFormat="1" applyFont="1" applyBorder="1" applyAlignment="1">
      <alignment horizontal="center"/>
    </xf>
    <xf numFmtId="172" fontId="26" fillId="0" borderId="23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172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172" fontId="23" fillId="0" borderId="10" xfId="0" applyNumberFormat="1" applyFont="1" applyFill="1" applyBorder="1" applyAlignment="1">
      <alignment horizontal="center" wrapText="1"/>
    </xf>
    <xf numFmtId="172" fontId="23" fillId="0" borderId="18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wrapText="1"/>
    </xf>
    <xf numFmtId="1" fontId="2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/>
    </xf>
    <xf numFmtId="17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right" vertical="center" wrapText="1"/>
    </xf>
    <xf numFmtId="172" fontId="27" fillId="0" borderId="12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172" fontId="27" fillId="0" borderId="12" xfId="0" applyNumberFormat="1" applyFont="1" applyBorder="1" applyAlignment="1">
      <alignment/>
    </xf>
    <xf numFmtId="0" fontId="30" fillId="0" borderId="10" xfId="0" applyFont="1" applyBorder="1" applyAlignment="1">
      <alignment wrapText="1"/>
    </xf>
    <xf numFmtId="181" fontId="26" fillId="0" borderId="10" xfId="0" applyNumberFormat="1" applyFont="1" applyBorder="1" applyAlignment="1">
      <alignment horizontal="center"/>
    </xf>
    <xf numFmtId="181" fontId="24" fillId="0" borderId="10" xfId="0" applyNumberFormat="1" applyFont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 wrapText="1"/>
    </xf>
    <xf numFmtId="181" fontId="23" fillId="0" borderId="10" xfId="0" applyNumberFormat="1" applyFont="1" applyBorder="1" applyAlignment="1">
      <alignment horizontal="center"/>
    </xf>
    <xf numFmtId="181" fontId="23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183" fontId="33" fillId="0" borderId="10" xfId="0" applyNumberFormat="1" applyFont="1" applyBorder="1" applyAlignment="1">
      <alignment horizontal="center" wrapText="1"/>
    </xf>
    <xf numFmtId="183" fontId="35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27" fillId="0" borderId="0" xfId="0" applyFont="1" applyAlignment="1">
      <alignment horizontal="left"/>
    </xf>
    <xf numFmtId="0" fontId="31" fillId="0" borderId="15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Fill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horizontal="left" wrapText="1"/>
    </xf>
    <xf numFmtId="49" fontId="39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wrapText="1"/>
    </xf>
    <xf numFmtId="183" fontId="40" fillId="0" borderId="10" xfId="0" applyNumberFormat="1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2" fillId="0" borderId="0" xfId="0" applyFont="1" applyAlignment="1">
      <alignment horizontal="center"/>
    </xf>
    <xf numFmtId="4" fontId="34" fillId="0" borderId="10" xfId="0" applyNumberFormat="1" applyFont="1" applyBorder="1" applyAlignment="1">
      <alignment horizontal="center" wrapText="1"/>
    </xf>
    <xf numFmtId="0" fontId="39" fillId="0" borderId="10" xfId="0" applyNumberFormat="1" applyFont="1" applyFill="1" applyBorder="1" applyAlignment="1">
      <alignment wrapText="1"/>
    </xf>
    <xf numFmtId="49" fontId="39" fillId="24" borderId="10" xfId="0" applyNumberFormat="1" applyFont="1" applyFill="1" applyBorder="1" applyAlignment="1">
      <alignment horizontal="center" wrapText="1"/>
    </xf>
    <xf numFmtId="49" fontId="39" fillId="24" borderId="10" xfId="0" applyNumberFormat="1" applyFont="1" applyFill="1" applyBorder="1" applyAlignment="1">
      <alignment wrapText="1"/>
    </xf>
    <xf numFmtId="0" fontId="39" fillId="24" borderId="10" xfId="0" applyNumberFormat="1" applyFont="1" applyFill="1" applyBorder="1" applyAlignment="1">
      <alignment wrapText="1"/>
    </xf>
    <xf numFmtId="183" fontId="39" fillId="24" borderId="10" xfId="0" applyNumberFormat="1" applyFont="1" applyFill="1" applyBorder="1" applyAlignment="1">
      <alignment horizontal="center" wrapText="1"/>
    </xf>
    <xf numFmtId="179" fontId="39" fillId="24" borderId="10" xfId="0" applyNumberFormat="1" applyFont="1" applyFill="1" applyBorder="1" applyAlignment="1">
      <alignment horizontal="center" wrapText="1"/>
    </xf>
    <xf numFmtId="172" fontId="34" fillId="24" borderId="0" xfId="0" applyNumberFormat="1" applyFont="1" applyFill="1" applyBorder="1" applyAlignment="1">
      <alignment horizontal="center" wrapText="1"/>
    </xf>
    <xf numFmtId="0" fontId="34" fillId="24" borderId="0" xfId="0" applyFont="1" applyFill="1" applyAlignment="1">
      <alignment/>
    </xf>
    <xf numFmtId="0" fontId="39" fillId="24" borderId="10" xfId="0" applyFont="1" applyFill="1" applyBorder="1" applyAlignment="1">
      <alignment wrapText="1"/>
    </xf>
    <xf numFmtId="184" fontId="39" fillId="24" borderId="10" xfId="0" applyNumberFormat="1" applyFont="1" applyFill="1" applyBorder="1" applyAlignment="1">
      <alignment horizontal="center" wrapText="1"/>
    </xf>
    <xf numFmtId="0" fontId="39" fillId="24" borderId="10" xfId="0" applyFont="1" applyFill="1" applyBorder="1" applyAlignment="1">
      <alignment horizontal="left" wrapText="1"/>
    </xf>
    <xf numFmtId="49" fontId="39" fillId="24" borderId="10" xfId="0" applyNumberFormat="1" applyFont="1" applyFill="1" applyBorder="1" applyAlignment="1">
      <alignment horizontal="center"/>
    </xf>
    <xf numFmtId="0" fontId="39" fillId="24" borderId="10" xfId="0" applyFont="1" applyFill="1" applyBorder="1" applyAlignment="1">
      <alignment/>
    </xf>
    <xf numFmtId="0" fontId="39" fillId="24" borderId="10" xfId="0" applyFont="1" applyFill="1" applyBorder="1" applyAlignment="1">
      <alignment horizontal="center" wrapText="1"/>
    </xf>
    <xf numFmtId="172" fontId="35" fillId="24" borderId="0" xfId="0" applyNumberFormat="1" applyFont="1" applyFill="1" applyBorder="1" applyAlignment="1">
      <alignment horizontal="center" wrapText="1"/>
    </xf>
    <xf numFmtId="181" fontId="39" fillId="24" borderId="10" xfId="0" applyNumberFormat="1" applyFont="1" applyFill="1" applyBorder="1" applyAlignment="1">
      <alignment horizontal="center" wrapText="1"/>
    </xf>
    <xf numFmtId="183" fontId="39" fillId="0" borderId="10" xfId="0" applyNumberFormat="1" applyFont="1" applyFill="1" applyBorder="1" applyAlignment="1">
      <alignment horizontal="center" wrapText="1"/>
    </xf>
    <xf numFmtId="172" fontId="39" fillId="0" borderId="10" xfId="0" applyNumberFormat="1" applyFont="1" applyFill="1" applyBorder="1" applyAlignment="1">
      <alignment horizontal="center"/>
    </xf>
    <xf numFmtId="184" fontId="39" fillId="0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wrapText="1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172" fontId="34" fillId="0" borderId="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179" fontId="39" fillId="0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39" fillId="25" borderId="10" xfId="0" applyFont="1" applyFill="1" applyBorder="1" applyAlignment="1">
      <alignment horizontal="left" wrapText="1"/>
    </xf>
    <xf numFmtId="0" fontId="34" fillId="7" borderId="10" xfId="0" applyFont="1" applyFill="1" applyBorder="1" applyAlignment="1">
      <alignment horizontal="center" wrapText="1"/>
    </xf>
    <xf numFmtId="0" fontId="39" fillId="7" borderId="10" xfId="0" applyFont="1" applyFill="1" applyBorder="1" applyAlignment="1">
      <alignment horizontal="center" wrapText="1"/>
    </xf>
    <xf numFmtId="0" fontId="39" fillId="7" borderId="10" xfId="0" applyFont="1" applyFill="1" applyBorder="1" applyAlignment="1">
      <alignment wrapText="1"/>
    </xf>
    <xf numFmtId="4" fontId="39" fillId="7" borderId="10" xfId="0" applyNumberFormat="1" applyFont="1" applyFill="1" applyBorder="1" applyAlignment="1">
      <alignment horizontal="center"/>
    </xf>
    <xf numFmtId="186" fontId="39" fillId="7" borderId="10" xfId="0" applyNumberFormat="1" applyFont="1" applyFill="1" applyBorder="1" applyAlignment="1">
      <alignment horizontal="center"/>
    </xf>
    <xf numFmtId="172" fontId="34" fillId="7" borderId="0" xfId="0" applyNumberFormat="1" applyFont="1" applyFill="1" applyBorder="1" applyAlignment="1">
      <alignment horizontal="center" wrapText="1"/>
    </xf>
    <xf numFmtId="0" fontId="34" fillId="7" borderId="0" xfId="0" applyFont="1" applyFill="1" applyAlignment="1">
      <alignment/>
    </xf>
    <xf numFmtId="179" fontId="39" fillId="0" borderId="10" xfId="0" applyNumberFormat="1" applyFont="1" applyFill="1" applyBorder="1" applyAlignment="1">
      <alignment horizontal="center"/>
    </xf>
    <xf numFmtId="0" fontId="39" fillId="24" borderId="10" xfId="0" applyFont="1" applyFill="1" applyBorder="1" applyAlignment="1">
      <alignment horizontal="left" wrapText="1" shrinkToFit="1"/>
    </xf>
    <xf numFmtId="0" fontId="39" fillId="0" borderId="10" xfId="0" applyFont="1" applyFill="1" applyBorder="1" applyAlignment="1">
      <alignment horizontal="left" wrapText="1" shrinkToFit="1"/>
    </xf>
    <xf numFmtId="0" fontId="39" fillId="4" borderId="10" xfId="0" applyFont="1" applyFill="1" applyBorder="1" applyAlignment="1">
      <alignment horizontal="center" wrapText="1"/>
    </xf>
    <xf numFmtId="0" fontId="39" fillId="4" borderId="10" xfId="0" applyFont="1" applyFill="1" applyBorder="1" applyAlignment="1">
      <alignment horizontal="left" wrapText="1"/>
    </xf>
    <xf numFmtId="183" fontId="39" fillId="4" borderId="10" xfId="0" applyNumberFormat="1" applyFont="1" applyFill="1" applyBorder="1" applyAlignment="1">
      <alignment horizontal="center" wrapText="1"/>
    </xf>
    <xf numFmtId="0" fontId="39" fillId="4" borderId="10" xfId="0" applyFont="1" applyFill="1" applyBorder="1" applyAlignment="1">
      <alignment wrapText="1"/>
    </xf>
    <xf numFmtId="49" fontId="39" fillId="4" borderId="10" xfId="0" applyNumberFormat="1" applyFont="1" applyFill="1" applyBorder="1" applyAlignment="1">
      <alignment wrapText="1"/>
    </xf>
    <xf numFmtId="184" fontId="39" fillId="4" borderId="10" xfId="0" applyNumberFormat="1" applyFont="1" applyFill="1" applyBorder="1" applyAlignment="1">
      <alignment horizontal="center" wrapText="1"/>
    </xf>
    <xf numFmtId="186" fontId="39" fillId="4" borderId="10" xfId="0" applyNumberFormat="1" applyFont="1" applyFill="1" applyBorder="1" applyAlignment="1">
      <alignment horizontal="center" wrapText="1"/>
    </xf>
    <xf numFmtId="179" fontId="39" fillId="4" borderId="10" xfId="0" applyNumberFormat="1" applyFont="1" applyFill="1" applyBorder="1" applyAlignment="1">
      <alignment horizontal="center" vertical="center" wrapText="1"/>
    </xf>
    <xf numFmtId="49" fontId="39" fillId="4" borderId="10" xfId="0" applyNumberFormat="1" applyFont="1" applyFill="1" applyBorder="1" applyAlignment="1">
      <alignment horizontal="center"/>
    </xf>
    <xf numFmtId="172" fontId="34" fillId="8" borderId="0" xfId="0" applyNumberFormat="1" applyFont="1" applyFill="1" applyBorder="1" applyAlignment="1">
      <alignment horizontal="center" wrapText="1"/>
    </xf>
    <xf numFmtId="0" fontId="34" fillId="8" borderId="0" xfId="0" applyFont="1" applyFill="1" applyAlignment="1">
      <alignment/>
    </xf>
    <xf numFmtId="184" fontId="39" fillId="7" borderId="10" xfId="0" applyNumberFormat="1" applyFont="1" applyFill="1" applyBorder="1" applyAlignment="1">
      <alignment horizontal="center"/>
    </xf>
    <xf numFmtId="181" fontId="39" fillId="0" borderId="10" xfId="0" applyNumberFormat="1" applyFont="1" applyFill="1" applyBorder="1" applyAlignment="1">
      <alignment horizontal="center"/>
    </xf>
    <xf numFmtId="186" fontId="39" fillId="0" borderId="10" xfId="0" applyNumberFormat="1" applyFont="1" applyFill="1" applyBorder="1" applyAlignment="1">
      <alignment horizontal="center" wrapText="1"/>
    </xf>
    <xf numFmtId="186" fontId="39" fillId="24" borderId="10" xfId="0" applyNumberFormat="1" applyFont="1" applyFill="1" applyBorder="1" applyAlignment="1">
      <alignment horizontal="center" wrapText="1"/>
    </xf>
    <xf numFmtId="49" fontId="39" fillId="8" borderId="10" xfId="0" applyNumberFormat="1" applyFont="1" applyFill="1" applyBorder="1" applyAlignment="1">
      <alignment horizontal="center" wrapText="1"/>
    </xf>
    <xf numFmtId="49" fontId="39" fillId="8" borderId="10" xfId="0" applyNumberFormat="1" applyFont="1" applyFill="1" applyBorder="1" applyAlignment="1">
      <alignment wrapText="1"/>
    </xf>
    <xf numFmtId="0" fontId="39" fillId="8" borderId="10" xfId="0" applyFont="1" applyFill="1" applyBorder="1" applyAlignment="1">
      <alignment wrapText="1"/>
    </xf>
    <xf numFmtId="184" fontId="39" fillId="8" borderId="10" xfId="0" applyNumberFormat="1" applyFont="1" applyFill="1" applyBorder="1" applyAlignment="1">
      <alignment horizontal="center" wrapText="1"/>
    </xf>
    <xf numFmtId="183" fontId="39" fillId="8" borderId="10" xfId="0" applyNumberFormat="1" applyFont="1" applyFill="1" applyBorder="1" applyAlignment="1">
      <alignment horizontal="center" wrapText="1"/>
    </xf>
    <xf numFmtId="186" fontId="39" fillId="8" borderId="10" xfId="0" applyNumberFormat="1" applyFont="1" applyFill="1" applyBorder="1" applyAlignment="1">
      <alignment horizontal="center" wrapText="1"/>
    </xf>
    <xf numFmtId="181" fontId="39" fillId="4" borderId="10" xfId="0" applyNumberFormat="1" applyFont="1" applyFill="1" applyBorder="1" applyAlignment="1">
      <alignment horizontal="center" vertical="center" wrapText="1"/>
    </xf>
    <xf numFmtId="172" fontId="39" fillId="4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188" fontId="39" fillId="4" borderId="10" xfId="60" applyNumberFormat="1" applyFont="1" applyFill="1" applyBorder="1" applyAlignment="1">
      <alignment wrapText="1"/>
    </xf>
    <xf numFmtId="179" fontId="34" fillId="0" borderId="10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 wrapText="1"/>
    </xf>
    <xf numFmtId="4" fontId="39" fillId="24" borderId="10" xfId="0" applyNumberFormat="1" applyFont="1" applyFill="1" applyBorder="1" applyAlignment="1">
      <alignment horizontal="center" wrapText="1"/>
    </xf>
    <xf numFmtId="184" fontId="46" fillId="0" borderId="10" xfId="0" applyNumberFormat="1" applyFont="1" applyFill="1" applyBorder="1" applyAlignment="1">
      <alignment horizontal="center" wrapText="1"/>
    </xf>
    <xf numFmtId="172" fontId="35" fillId="0" borderId="0" xfId="0" applyNumberFormat="1" applyFont="1" applyFill="1" applyBorder="1" applyAlignment="1">
      <alignment horizontal="center" wrapText="1"/>
    </xf>
    <xf numFmtId="0" fontId="39" fillId="23" borderId="10" xfId="0" applyFont="1" applyFill="1" applyBorder="1" applyAlignment="1">
      <alignment wrapText="1"/>
    </xf>
    <xf numFmtId="179" fontId="39" fillId="23" borderId="10" xfId="0" applyNumberFormat="1" applyFont="1" applyFill="1" applyBorder="1" applyAlignment="1">
      <alignment horizontal="center" wrapText="1"/>
    </xf>
    <xf numFmtId="183" fontId="39" fillId="23" borderId="10" xfId="0" applyNumberFormat="1" applyFont="1" applyFill="1" applyBorder="1" applyAlignment="1">
      <alignment horizontal="center" wrapText="1"/>
    </xf>
    <xf numFmtId="184" fontId="39" fillId="23" borderId="10" xfId="0" applyNumberFormat="1" applyFont="1" applyFill="1" applyBorder="1" applyAlignment="1">
      <alignment horizontal="center" wrapText="1"/>
    </xf>
    <xf numFmtId="188" fontId="39" fillId="0" borderId="10" xfId="60" applyNumberFormat="1" applyFont="1" applyFill="1" applyBorder="1" applyAlignment="1">
      <alignment wrapText="1"/>
    </xf>
    <xf numFmtId="186" fontId="34" fillId="0" borderId="0" xfId="0" applyNumberFormat="1" applyFont="1" applyFill="1" applyAlignment="1">
      <alignment/>
    </xf>
    <xf numFmtId="181" fontId="39" fillId="0" borderId="10" xfId="0" applyNumberFormat="1" applyFont="1" applyFill="1" applyBorder="1" applyAlignment="1">
      <alignment horizontal="center" wrapText="1"/>
    </xf>
    <xf numFmtId="49" fontId="39" fillId="25" borderId="10" xfId="0" applyNumberFormat="1" applyFont="1" applyFill="1" applyBorder="1" applyAlignment="1">
      <alignment horizontal="center"/>
    </xf>
    <xf numFmtId="0" fontId="39" fillId="25" borderId="10" xfId="0" applyFont="1" applyFill="1" applyBorder="1" applyAlignment="1">
      <alignment wrapText="1"/>
    </xf>
    <xf numFmtId="179" fontId="39" fillId="25" borderId="10" xfId="0" applyNumberFormat="1" applyFont="1" applyFill="1" applyBorder="1" applyAlignment="1">
      <alignment horizontal="center"/>
    </xf>
    <xf numFmtId="172" fontId="39" fillId="25" borderId="10" xfId="0" applyNumberFormat="1" applyFont="1" applyFill="1" applyBorder="1" applyAlignment="1">
      <alignment horizontal="center"/>
    </xf>
    <xf numFmtId="0" fontId="34" fillId="8" borderId="10" xfId="0" applyFont="1" applyFill="1" applyBorder="1" applyAlignment="1">
      <alignment/>
    </xf>
    <xf numFmtId="49" fontId="39" fillId="8" borderId="10" xfId="0" applyNumberFormat="1" applyFont="1" applyFill="1" applyBorder="1" applyAlignment="1">
      <alignment horizontal="center"/>
    </xf>
    <xf numFmtId="0" fontId="39" fillId="8" borderId="10" xfId="0" applyFont="1" applyFill="1" applyBorder="1" applyAlignment="1">
      <alignment wrapText="1"/>
    </xf>
    <xf numFmtId="179" fontId="39" fillId="8" borderId="10" xfId="0" applyNumberFormat="1" applyFont="1" applyFill="1" applyBorder="1" applyAlignment="1">
      <alignment horizontal="center"/>
    </xf>
    <xf numFmtId="172" fontId="39" fillId="8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186" fontId="39" fillId="0" borderId="0" xfId="0" applyNumberFormat="1" applyFont="1" applyFill="1" applyAlignment="1">
      <alignment horizontal="center"/>
    </xf>
    <xf numFmtId="179" fontId="39" fillId="25" borderId="10" xfId="0" applyNumberFormat="1" applyFont="1" applyFill="1" applyBorder="1" applyAlignment="1">
      <alignment horizontal="center" wrapText="1"/>
    </xf>
    <xf numFmtId="183" fontId="39" fillId="25" borderId="10" xfId="0" applyNumberFormat="1" applyFont="1" applyFill="1" applyBorder="1" applyAlignment="1">
      <alignment horizontal="center" wrapText="1"/>
    </xf>
    <xf numFmtId="184" fontId="39" fillId="25" borderId="10" xfId="0" applyNumberFormat="1" applyFont="1" applyFill="1" applyBorder="1" applyAlignment="1">
      <alignment horizont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31" fillId="0" borderId="12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4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18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3" fillId="0" borderId="18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75" zoomScaleNormal="75" zoomScaleSheetLayoutView="75" zoomScalePageLayoutView="0" workbookViewId="0" topLeftCell="A1">
      <pane xSplit="3" ySplit="10" topLeftCell="F21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F31" sqref="F31"/>
    </sheetView>
  </sheetViews>
  <sheetFormatPr defaultColWidth="9.00390625" defaultRowHeight="12.75"/>
  <cols>
    <col min="2" max="2" width="10.75390625" style="0" customWidth="1"/>
    <col min="3" max="3" width="55.00390625" style="0" customWidth="1"/>
    <col min="4" max="4" width="12.25390625" style="0" customWidth="1"/>
    <col min="5" max="5" width="11.625" style="0" customWidth="1"/>
    <col min="6" max="6" width="10.625" style="0" customWidth="1"/>
  </cols>
  <sheetData>
    <row r="1" spans="6:7" ht="12.75">
      <c r="F1" s="6"/>
      <c r="G1" s="5"/>
    </row>
    <row r="2" spans="4:7" ht="12.75">
      <c r="D2" s="335" t="s">
        <v>218</v>
      </c>
      <c r="E2" s="335"/>
      <c r="F2" s="335"/>
      <c r="G2" s="86"/>
    </row>
    <row r="3" spans="4:7" ht="12.75">
      <c r="D3" s="336" t="s">
        <v>216</v>
      </c>
      <c r="E3" s="336"/>
      <c r="F3" s="336"/>
      <c r="G3" s="6"/>
    </row>
    <row r="4" spans="4:7" ht="12.75">
      <c r="D4" s="335" t="s">
        <v>214</v>
      </c>
      <c r="E4" s="335"/>
      <c r="F4" s="335"/>
      <c r="G4" s="4"/>
    </row>
    <row r="5" spans="4:7" ht="12.75">
      <c r="D5" s="4"/>
      <c r="E5" s="4"/>
      <c r="F5" s="4"/>
      <c r="G5" s="4"/>
    </row>
    <row r="6" spans="2:7" ht="12.75">
      <c r="B6" s="334" t="s">
        <v>14</v>
      </c>
      <c r="C6" s="334"/>
      <c r="D6" s="334"/>
      <c r="E6" s="334"/>
      <c r="F6" s="334"/>
      <c r="G6" s="4"/>
    </row>
    <row r="7" spans="2:7" ht="19.5" customHeight="1">
      <c r="B7" s="334" t="s">
        <v>208</v>
      </c>
      <c r="C7" s="334"/>
      <c r="D7" s="334"/>
      <c r="E7" s="334"/>
      <c r="F7" s="334"/>
      <c r="G7" s="4"/>
    </row>
    <row r="8" ht="12.75">
      <c r="F8" t="s">
        <v>215</v>
      </c>
    </row>
    <row r="9" spans="1:8" ht="135" customHeight="1">
      <c r="A9" s="2"/>
      <c r="B9" s="39" t="s">
        <v>222</v>
      </c>
      <c r="C9" s="7" t="s">
        <v>1</v>
      </c>
      <c r="D9" s="7" t="s">
        <v>213</v>
      </c>
      <c r="E9" s="7" t="s">
        <v>4</v>
      </c>
      <c r="F9" s="7" t="s">
        <v>2</v>
      </c>
      <c r="G9" s="1"/>
      <c r="H9" s="1"/>
    </row>
    <row r="10" spans="1:8" ht="12.75">
      <c r="A10" s="2"/>
      <c r="B10" s="3"/>
      <c r="C10" s="3">
        <v>2</v>
      </c>
      <c r="D10" s="3">
        <v>3</v>
      </c>
      <c r="E10" s="3">
        <v>4</v>
      </c>
      <c r="F10" s="3">
        <v>5</v>
      </c>
      <c r="G10" s="1"/>
      <c r="H10" s="1"/>
    </row>
    <row r="11" spans="1:8" ht="42.75" customHeight="1">
      <c r="A11" s="89" t="s">
        <v>219</v>
      </c>
      <c r="B11" s="2"/>
      <c r="C11" s="93" t="s">
        <v>223</v>
      </c>
      <c r="D11" s="29">
        <f>SUM(D14+D15+D12+D16+D13)</f>
        <v>2030.3</v>
      </c>
      <c r="E11" s="11"/>
      <c r="F11" s="29">
        <v>600</v>
      </c>
      <c r="G11" s="1"/>
      <c r="H11" s="1"/>
    </row>
    <row r="12" spans="1:8" ht="42" customHeight="1">
      <c r="A12" s="87"/>
      <c r="B12" s="54" t="s">
        <v>224</v>
      </c>
      <c r="C12" s="15" t="s">
        <v>209</v>
      </c>
      <c r="D12" s="16">
        <v>143</v>
      </c>
      <c r="E12" s="84">
        <v>0.273</v>
      </c>
      <c r="F12" s="16">
        <v>104</v>
      </c>
      <c r="G12" s="1"/>
      <c r="H12" s="1"/>
    </row>
    <row r="13" spans="1:8" ht="45" customHeight="1">
      <c r="A13" s="87"/>
      <c r="B13" s="33" t="s">
        <v>225</v>
      </c>
      <c r="C13" s="83" t="s">
        <v>69</v>
      </c>
      <c r="D13" s="12">
        <v>250</v>
      </c>
      <c r="E13" s="14">
        <v>0.804</v>
      </c>
      <c r="F13" s="12">
        <v>49</v>
      </c>
      <c r="G13" s="1"/>
      <c r="H13" s="1"/>
    </row>
    <row r="14" spans="1:8" ht="45" customHeight="1">
      <c r="A14" s="87"/>
      <c r="B14" s="33" t="s">
        <v>226</v>
      </c>
      <c r="C14" s="83" t="s">
        <v>211</v>
      </c>
      <c r="D14" s="12">
        <v>1060</v>
      </c>
      <c r="E14" s="14">
        <v>0.811</v>
      </c>
      <c r="F14" s="12">
        <v>150</v>
      </c>
      <c r="G14" s="1"/>
      <c r="H14" s="1"/>
    </row>
    <row r="15" spans="1:8" s="73" customFormat="1" ht="51.75" customHeight="1">
      <c r="A15" s="87"/>
      <c r="B15" s="33" t="s">
        <v>227</v>
      </c>
      <c r="C15" s="85" t="s">
        <v>210</v>
      </c>
      <c r="D15" s="12">
        <v>397.3</v>
      </c>
      <c r="E15" s="14">
        <v>0.497</v>
      </c>
      <c r="F15" s="12">
        <v>190</v>
      </c>
      <c r="G15" s="72"/>
      <c r="H15" s="72"/>
    </row>
    <row r="16" spans="1:8" ht="31.5" customHeight="1">
      <c r="A16" s="87"/>
      <c r="B16" s="33" t="s">
        <v>228</v>
      </c>
      <c r="C16" s="83" t="s">
        <v>7</v>
      </c>
      <c r="D16" s="12">
        <v>180</v>
      </c>
      <c r="E16" s="14">
        <v>0.444</v>
      </c>
      <c r="F16" s="12">
        <v>100</v>
      </c>
      <c r="G16" s="1"/>
      <c r="H16" s="1"/>
    </row>
    <row r="17" spans="1:8" ht="30.75" customHeight="1">
      <c r="A17" s="91"/>
      <c r="B17" s="33" t="s">
        <v>232</v>
      </c>
      <c r="C17" s="83" t="s">
        <v>230</v>
      </c>
      <c r="D17" s="12">
        <v>67</v>
      </c>
      <c r="E17" s="14">
        <v>0.3</v>
      </c>
      <c r="F17" s="12">
        <v>7</v>
      </c>
      <c r="G17" s="1"/>
      <c r="H17" s="1"/>
    </row>
    <row r="18" spans="1:8" ht="48" customHeight="1">
      <c r="A18" s="90" t="s">
        <v>220</v>
      </c>
      <c r="B18" s="3"/>
      <c r="C18" s="92" t="s">
        <v>229</v>
      </c>
      <c r="D18" s="12"/>
      <c r="E18" s="14"/>
      <c r="F18" s="94">
        <v>1000</v>
      </c>
      <c r="G18" s="1"/>
      <c r="H18" s="1"/>
    </row>
    <row r="19" spans="1:8" ht="29.25" customHeight="1">
      <c r="A19" s="87"/>
      <c r="B19" s="3" t="s">
        <v>224</v>
      </c>
      <c r="C19" s="83"/>
      <c r="D19" s="12"/>
      <c r="E19" s="14"/>
      <c r="F19" s="12"/>
      <c r="G19" s="1"/>
      <c r="H19" s="1"/>
    </row>
    <row r="20" spans="1:8" ht="27" customHeight="1">
      <c r="A20" s="87"/>
      <c r="B20" s="3" t="s">
        <v>225</v>
      </c>
      <c r="C20" s="83"/>
      <c r="D20" s="12"/>
      <c r="E20" s="14"/>
      <c r="F20" s="12"/>
      <c r="G20" s="1"/>
      <c r="H20" s="1"/>
    </row>
    <row r="21" spans="1:8" ht="31.5" customHeight="1">
      <c r="A21" s="87"/>
      <c r="B21" s="3" t="s">
        <v>226</v>
      </c>
      <c r="C21" s="83"/>
      <c r="D21" s="12"/>
      <c r="E21" s="14"/>
      <c r="F21" s="12"/>
      <c r="G21" s="1"/>
      <c r="H21" s="1"/>
    </row>
    <row r="22" spans="1:8" ht="23.25" customHeight="1">
      <c r="A22" s="87"/>
      <c r="B22" s="3" t="s">
        <v>227</v>
      </c>
      <c r="C22" s="83"/>
      <c r="D22" s="12"/>
      <c r="E22" s="14"/>
      <c r="F22" s="12"/>
      <c r="G22" s="1"/>
      <c r="H22" s="1"/>
    </row>
    <row r="23" spans="1:6" ht="20.25" customHeight="1">
      <c r="A23" s="88"/>
      <c r="B23" s="9"/>
      <c r="C23" s="8" t="s">
        <v>11</v>
      </c>
      <c r="D23" s="13"/>
      <c r="E23" s="10"/>
      <c r="F23" s="13">
        <v>1600</v>
      </c>
    </row>
    <row r="25" spans="2:6" ht="17.25" customHeight="1">
      <c r="B25" s="337" t="s">
        <v>212</v>
      </c>
      <c r="C25" s="337"/>
      <c r="D25" s="337"/>
      <c r="E25" s="337"/>
      <c r="F25" s="337"/>
    </row>
    <row r="26" spans="2:6" ht="66" customHeight="1">
      <c r="B26" s="338" t="s">
        <v>221</v>
      </c>
      <c r="C26" s="338"/>
      <c r="D26" s="338"/>
      <c r="E26" s="338"/>
      <c r="F26" s="338"/>
    </row>
    <row r="27" spans="2:6" ht="88.5" customHeight="1">
      <c r="B27" s="337" t="s">
        <v>231</v>
      </c>
      <c r="C27" s="337"/>
      <c r="D27" s="337"/>
      <c r="E27" s="337"/>
      <c r="F27" s="337"/>
    </row>
    <row r="28" spans="2:6" ht="19.5" customHeight="1">
      <c r="B28" s="4"/>
      <c r="C28" s="4"/>
      <c r="D28" s="4"/>
      <c r="E28" s="4"/>
      <c r="F28" s="4"/>
    </row>
    <row r="29" spans="2:4" ht="12.75">
      <c r="B29" s="335" t="s">
        <v>70</v>
      </c>
      <c r="C29" s="335"/>
      <c r="D29" s="335"/>
    </row>
    <row r="30" spans="2:4" ht="12.75">
      <c r="B30" t="s">
        <v>12</v>
      </c>
      <c r="D30" t="s">
        <v>217</v>
      </c>
    </row>
  </sheetData>
  <sheetProtection/>
  <mergeCells count="9">
    <mergeCell ref="B29:D29"/>
    <mergeCell ref="B25:F25"/>
    <mergeCell ref="B27:F27"/>
    <mergeCell ref="B26:F26"/>
    <mergeCell ref="B7:F7"/>
    <mergeCell ref="D2:F2"/>
    <mergeCell ref="D3:F3"/>
    <mergeCell ref="D4:F4"/>
    <mergeCell ref="B6:F6"/>
  </mergeCells>
  <printOptions horizontalCentered="1"/>
  <pageMargins left="0.7874015748031497" right="0.1968503937007874" top="0.7874015748031497" bottom="0.7874015748031497" header="0.5118110236220472" footer="0.5118110236220472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"/>
  <sheetViews>
    <sheetView view="pageBreakPreview" zoomScale="75" zoomScaleNormal="75" zoomScaleSheetLayoutView="75" zoomScalePageLayoutView="0" workbookViewId="0" topLeftCell="A1">
      <selection activeCell="F31" sqref="F31"/>
    </sheetView>
  </sheetViews>
  <sheetFormatPr defaultColWidth="8.875" defaultRowHeight="12.75"/>
  <cols>
    <col min="1" max="1" width="14.25390625" style="17" customWidth="1"/>
    <col min="2" max="2" width="52.875" style="17" customWidth="1"/>
    <col min="3" max="3" width="13.375" style="17" customWidth="1"/>
    <col min="4" max="4" width="14.75390625" style="17" customWidth="1"/>
    <col min="5" max="5" width="13.625" style="17" customWidth="1"/>
    <col min="6" max="6" width="11.00390625" style="17" customWidth="1"/>
    <col min="7" max="7" width="11.75390625" style="17" customWidth="1"/>
    <col min="8" max="8" width="12.875" style="17" customWidth="1"/>
    <col min="9" max="9" width="12.25390625" style="17" customWidth="1"/>
    <col min="10" max="16384" width="8.875" style="17" customWidth="1"/>
  </cols>
  <sheetData>
    <row r="1" spans="6:8" ht="15.75">
      <c r="F1" s="339"/>
      <c r="G1" s="339"/>
      <c r="H1" s="19"/>
    </row>
    <row r="2" spans="6:8" ht="15.75">
      <c r="F2" s="339" t="s">
        <v>56</v>
      </c>
      <c r="G2" s="339"/>
      <c r="H2" s="339"/>
    </row>
    <row r="3" spans="6:8" ht="15.75">
      <c r="F3" s="18" t="s">
        <v>54</v>
      </c>
      <c r="G3" s="18"/>
      <c r="H3" s="18"/>
    </row>
    <row r="4" spans="6:8" ht="15">
      <c r="F4" s="20" t="s">
        <v>55</v>
      </c>
      <c r="G4" s="20"/>
      <c r="H4" s="20"/>
    </row>
    <row r="5" spans="6:8" ht="15">
      <c r="F5" s="20"/>
      <c r="G5" s="20"/>
      <c r="H5" s="20"/>
    </row>
    <row r="6" spans="1:9" ht="15">
      <c r="A6" s="340" t="s">
        <v>14</v>
      </c>
      <c r="B6" s="340"/>
      <c r="C6" s="340"/>
      <c r="D6" s="340"/>
      <c r="E6" s="340"/>
      <c r="F6" s="340"/>
      <c r="G6" s="340"/>
      <c r="H6" s="340"/>
      <c r="I6" s="340"/>
    </row>
    <row r="7" spans="1:9" ht="15">
      <c r="A7" s="340" t="s">
        <v>15</v>
      </c>
      <c r="B7" s="340"/>
      <c r="C7" s="340"/>
      <c r="D7" s="340"/>
      <c r="E7" s="340"/>
      <c r="F7" s="340"/>
      <c r="G7" s="340"/>
      <c r="H7" s="340"/>
      <c r="I7" s="340"/>
    </row>
    <row r="8" ht="15">
      <c r="I8" s="17" t="s">
        <v>13</v>
      </c>
    </row>
    <row r="9" spans="1:9" ht="159.75" customHeight="1">
      <c r="A9" s="21" t="s">
        <v>0</v>
      </c>
      <c r="B9" s="38" t="s">
        <v>1</v>
      </c>
      <c r="C9" s="38" t="s">
        <v>52</v>
      </c>
      <c r="D9" s="39" t="s">
        <v>4</v>
      </c>
      <c r="E9" s="37" t="s">
        <v>5</v>
      </c>
      <c r="F9" s="38" t="s">
        <v>2</v>
      </c>
      <c r="G9" s="39" t="s">
        <v>3</v>
      </c>
      <c r="H9" s="40" t="s">
        <v>68</v>
      </c>
      <c r="I9" s="41" t="s">
        <v>45</v>
      </c>
    </row>
    <row r="10" spans="1:9" ht="16.5">
      <c r="A10" s="2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5</v>
      </c>
      <c r="G10" s="33">
        <v>6</v>
      </c>
      <c r="H10" s="33">
        <v>7</v>
      </c>
      <c r="I10" s="42">
        <v>8</v>
      </c>
    </row>
    <row r="11" spans="1:9" ht="31.5" customHeight="1">
      <c r="A11" s="23"/>
      <c r="B11" s="43" t="s">
        <v>6</v>
      </c>
      <c r="C11" s="29">
        <f>C12+C13+C14+C15+C16+C17+C18+C22+C23+C24+C29+C30+C31+C32+C33+C34+C35+C36</f>
        <v>6230.799999999999</v>
      </c>
      <c r="D11" s="29"/>
      <c r="E11" s="29">
        <f>SUM(E12+E13+E14+E15+E16+E17+E18+E22+E23+E24+E29+E30+E31+E32+E33+E34+E35+E36)</f>
        <v>2164.33</v>
      </c>
      <c r="F11" s="45">
        <f>SUM(F12+F13+F14+F15+F16+F17+F18+F22+F23+F24+F29+F30+F31+F32+F33+F34+F35+F36)</f>
        <v>2679.6</v>
      </c>
      <c r="G11" s="33">
        <v>0</v>
      </c>
      <c r="H11" s="44">
        <v>-9.4</v>
      </c>
      <c r="I11" s="45">
        <f>SUM(I12+I13+I14+I15+I16+I17+I18+I22+I23+I24+I29+I30+I31+I32+I33+I34++I35+I36)</f>
        <v>2670.2000000000003</v>
      </c>
    </row>
    <row r="12" spans="1:9" ht="51" customHeight="1">
      <c r="A12" s="22" t="s">
        <v>19</v>
      </c>
      <c r="B12" s="46" t="s">
        <v>16</v>
      </c>
      <c r="C12" s="31">
        <v>1184.2</v>
      </c>
      <c r="D12" s="47">
        <v>0.8309</v>
      </c>
      <c r="E12" s="31">
        <v>150.5</v>
      </c>
      <c r="F12" s="31">
        <v>49.8</v>
      </c>
      <c r="G12" s="33">
        <v>0</v>
      </c>
      <c r="H12" s="48">
        <v>0</v>
      </c>
      <c r="I12" s="49">
        <v>49.8</v>
      </c>
    </row>
    <row r="13" spans="1:9" ht="81" customHeight="1">
      <c r="A13" s="22" t="s">
        <v>19</v>
      </c>
      <c r="B13" s="46" t="s">
        <v>207</v>
      </c>
      <c r="C13" s="31">
        <v>549.9</v>
      </c>
      <c r="D13" s="47">
        <v>0.0908</v>
      </c>
      <c r="E13" s="31">
        <v>169.06</v>
      </c>
      <c r="F13" s="31">
        <v>405</v>
      </c>
      <c r="G13" s="33">
        <v>0</v>
      </c>
      <c r="H13" s="74">
        <v>-24.16</v>
      </c>
      <c r="I13" s="75">
        <v>380.84</v>
      </c>
    </row>
    <row r="14" spans="1:9" ht="48" customHeight="1">
      <c r="A14" s="26" t="s">
        <v>19</v>
      </c>
      <c r="B14" s="50" t="s">
        <v>48</v>
      </c>
      <c r="C14" s="81">
        <v>90.1</v>
      </c>
      <c r="D14" s="33"/>
      <c r="E14" s="31"/>
      <c r="F14" s="31">
        <v>90.1</v>
      </c>
      <c r="G14" s="33">
        <v>0</v>
      </c>
      <c r="H14" s="74">
        <v>-0.12</v>
      </c>
      <c r="I14" s="75">
        <v>89.98</v>
      </c>
    </row>
    <row r="15" spans="1:9" ht="48" customHeight="1">
      <c r="A15" s="22" t="s">
        <v>19</v>
      </c>
      <c r="B15" s="46" t="s">
        <v>50</v>
      </c>
      <c r="C15" s="81">
        <v>226.2</v>
      </c>
      <c r="D15" s="47"/>
      <c r="E15" s="31">
        <v>82.17</v>
      </c>
      <c r="F15" s="31">
        <v>93.6</v>
      </c>
      <c r="G15" s="33">
        <v>0</v>
      </c>
      <c r="H15" s="74">
        <v>50.43</v>
      </c>
      <c r="I15" s="75">
        <v>144.03</v>
      </c>
    </row>
    <row r="16" spans="1:9" ht="54" customHeight="1">
      <c r="A16" s="22" t="s">
        <v>19</v>
      </c>
      <c r="B16" s="46" t="s">
        <v>51</v>
      </c>
      <c r="C16" s="31">
        <v>269.6</v>
      </c>
      <c r="D16" s="33"/>
      <c r="E16" s="31"/>
      <c r="F16" s="31">
        <v>269.6</v>
      </c>
      <c r="G16" s="33">
        <v>0</v>
      </c>
      <c r="H16" s="48">
        <v>6.1</v>
      </c>
      <c r="I16" s="49">
        <v>275.7</v>
      </c>
    </row>
    <row r="17" spans="1:9" ht="51.75" customHeight="1">
      <c r="A17" s="22" t="s">
        <v>20</v>
      </c>
      <c r="B17" s="46" t="s">
        <v>46</v>
      </c>
      <c r="C17" s="31">
        <v>200</v>
      </c>
      <c r="D17" s="33"/>
      <c r="E17" s="31">
        <v>130</v>
      </c>
      <c r="F17" s="31">
        <v>70</v>
      </c>
      <c r="G17" s="33">
        <v>0</v>
      </c>
      <c r="H17" s="48">
        <v>0</v>
      </c>
      <c r="I17" s="49">
        <v>70</v>
      </c>
    </row>
    <row r="18" spans="1:9" ht="48" customHeight="1">
      <c r="A18" s="24" t="s">
        <v>23</v>
      </c>
      <c r="B18" s="51" t="s">
        <v>22</v>
      </c>
      <c r="C18" s="34">
        <v>399</v>
      </c>
      <c r="D18" s="52"/>
      <c r="E18" s="31">
        <v>162</v>
      </c>
      <c r="F18" s="34">
        <v>237</v>
      </c>
      <c r="G18" s="52">
        <v>0</v>
      </c>
      <c r="H18" s="48">
        <v>-6.8</v>
      </c>
      <c r="I18" s="49">
        <v>230.2</v>
      </c>
    </row>
    <row r="19" spans="1:9" ht="21" customHeight="1">
      <c r="A19" s="25" t="s">
        <v>24</v>
      </c>
      <c r="B19" s="53" t="s">
        <v>25</v>
      </c>
      <c r="C19" s="31">
        <v>162</v>
      </c>
      <c r="D19" s="33"/>
      <c r="E19" s="34">
        <v>162</v>
      </c>
      <c r="F19" s="31">
        <v>0</v>
      </c>
      <c r="G19" s="33">
        <v>0</v>
      </c>
      <c r="H19" s="48">
        <v>0</v>
      </c>
      <c r="I19" s="49">
        <v>0</v>
      </c>
    </row>
    <row r="20" spans="1:9" ht="24" customHeight="1">
      <c r="A20" s="25" t="s">
        <v>26</v>
      </c>
      <c r="B20" s="53" t="s">
        <v>27</v>
      </c>
      <c r="C20" s="31">
        <v>37</v>
      </c>
      <c r="D20" s="33"/>
      <c r="E20" s="31"/>
      <c r="F20" s="31">
        <v>37</v>
      </c>
      <c r="G20" s="33">
        <v>0</v>
      </c>
      <c r="H20" s="48">
        <v>0</v>
      </c>
      <c r="I20" s="49">
        <v>37</v>
      </c>
    </row>
    <row r="21" spans="1:9" ht="17.25" customHeight="1">
      <c r="A21" s="26" t="s">
        <v>26</v>
      </c>
      <c r="B21" s="50" t="s">
        <v>28</v>
      </c>
      <c r="C21" s="31">
        <v>200</v>
      </c>
      <c r="D21" s="33"/>
      <c r="E21" s="31"/>
      <c r="F21" s="31">
        <v>200</v>
      </c>
      <c r="G21" s="33">
        <v>0</v>
      </c>
      <c r="H21" s="48">
        <v>-6.8</v>
      </c>
      <c r="I21" s="49">
        <v>193.2</v>
      </c>
    </row>
    <row r="22" spans="1:9" ht="51.75" customHeight="1">
      <c r="A22" s="26" t="s">
        <v>21</v>
      </c>
      <c r="B22" s="50" t="s">
        <v>29</v>
      </c>
      <c r="C22" s="35">
        <v>1020</v>
      </c>
      <c r="D22" s="54"/>
      <c r="E22" s="31">
        <v>992.6</v>
      </c>
      <c r="F22" s="35">
        <v>27.4</v>
      </c>
      <c r="G22" s="54">
        <v>0</v>
      </c>
      <c r="H22" s="48">
        <v>0</v>
      </c>
      <c r="I22" s="49">
        <v>27.4</v>
      </c>
    </row>
    <row r="23" spans="1:9" ht="49.5" customHeight="1">
      <c r="A23" s="22" t="s">
        <v>19</v>
      </c>
      <c r="B23" s="46" t="s">
        <v>7</v>
      </c>
      <c r="C23" s="31">
        <v>80</v>
      </c>
      <c r="D23" s="33"/>
      <c r="E23" s="35"/>
      <c r="F23" s="31">
        <v>80</v>
      </c>
      <c r="G23" s="33">
        <v>0</v>
      </c>
      <c r="H23" s="48">
        <v>0</v>
      </c>
      <c r="I23" s="49">
        <v>80</v>
      </c>
    </row>
    <row r="24" spans="1:9" ht="36" customHeight="1">
      <c r="A24" s="24" t="s">
        <v>30</v>
      </c>
      <c r="B24" s="55" t="s">
        <v>47</v>
      </c>
      <c r="C24" s="82">
        <v>327.1</v>
      </c>
      <c r="D24" s="33"/>
      <c r="E24" s="31"/>
      <c r="F24" s="31">
        <v>327.1</v>
      </c>
      <c r="G24" s="33">
        <v>0</v>
      </c>
      <c r="H24" s="74">
        <v>-5.86</v>
      </c>
      <c r="I24" s="75">
        <v>321.24</v>
      </c>
    </row>
    <row r="25" spans="1:9" ht="22.5" customHeight="1">
      <c r="A25" s="25" t="s">
        <v>26</v>
      </c>
      <c r="B25" s="57" t="s">
        <v>31</v>
      </c>
      <c r="C25" s="56">
        <v>99.9</v>
      </c>
      <c r="D25" s="33"/>
      <c r="E25" s="31"/>
      <c r="F25" s="31">
        <v>99.9</v>
      </c>
      <c r="G25" s="33">
        <v>0</v>
      </c>
      <c r="H25" s="48">
        <v>0</v>
      </c>
      <c r="I25" s="49">
        <v>99.9</v>
      </c>
    </row>
    <row r="26" spans="1:9" ht="21" customHeight="1">
      <c r="A26" s="25" t="s">
        <v>26</v>
      </c>
      <c r="B26" s="57" t="s">
        <v>57</v>
      </c>
      <c r="C26" s="82">
        <v>47.2</v>
      </c>
      <c r="D26" s="33"/>
      <c r="E26" s="31"/>
      <c r="F26" s="31">
        <v>47.2</v>
      </c>
      <c r="G26" s="33">
        <v>0</v>
      </c>
      <c r="H26" s="74">
        <v>-4.86</v>
      </c>
      <c r="I26" s="75">
        <v>42.34</v>
      </c>
    </row>
    <row r="27" spans="1:9" ht="22.5" customHeight="1">
      <c r="A27" s="26" t="s">
        <v>26</v>
      </c>
      <c r="B27" s="58" t="s">
        <v>32</v>
      </c>
      <c r="C27" s="56">
        <v>20</v>
      </c>
      <c r="D27" s="33"/>
      <c r="E27" s="31"/>
      <c r="F27" s="31">
        <v>20</v>
      </c>
      <c r="G27" s="33">
        <v>0</v>
      </c>
      <c r="H27" s="48">
        <v>0</v>
      </c>
      <c r="I27" s="49">
        <v>20</v>
      </c>
    </row>
    <row r="28" spans="1:9" ht="22.5" customHeight="1">
      <c r="A28" s="26" t="s">
        <v>26</v>
      </c>
      <c r="B28" s="58" t="s">
        <v>206</v>
      </c>
      <c r="C28" s="56">
        <v>160</v>
      </c>
      <c r="D28" s="33"/>
      <c r="E28" s="31"/>
      <c r="F28" s="31">
        <v>160</v>
      </c>
      <c r="G28" s="33">
        <v>0</v>
      </c>
      <c r="H28" s="48">
        <v>-1</v>
      </c>
      <c r="I28" s="49">
        <v>159</v>
      </c>
    </row>
    <row r="29" spans="1:9" ht="55.5" customHeight="1">
      <c r="A29" s="22" t="s">
        <v>19</v>
      </c>
      <c r="B29" s="46" t="s">
        <v>33</v>
      </c>
      <c r="C29" s="31">
        <v>500</v>
      </c>
      <c r="D29" s="33"/>
      <c r="E29" s="31"/>
      <c r="F29" s="31">
        <v>500</v>
      </c>
      <c r="G29" s="33">
        <v>0</v>
      </c>
      <c r="H29" s="48">
        <v>-0.6</v>
      </c>
      <c r="I29" s="49">
        <v>499.4</v>
      </c>
    </row>
    <row r="30" spans="1:9" ht="55.5" customHeight="1">
      <c r="A30" s="22" t="s">
        <v>19</v>
      </c>
      <c r="B30" s="46" t="s">
        <v>49</v>
      </c>
      <c r="C30" s="31">
        <v>485</v>
      </c>
      <c r="D30" s="33"/>
      <c r="E30" s="31">
        <v>400</v>
      </c>
      <c r="F30" s="31">
        <v>120</v>
      </c>
      <c r="G30" s="33">
        <v>0</v>
      </c>
      <c r="H30" s="48">
        <v>-35</v>
      </c>
      <c r="I30" s="49">
        <v>85</v>
      </c>
    </row>
    <row r="31" spans="1:9" ht="48" customHeight="1">
      <c r="A31" s="22" t="s">
        <v>19</v>
      </c>
      <c r="B31" s="46" t="s">
        <v>8</v>
      </c>
      <c r="C31" s="31">
        <v>55</v>
      </c>
      <c r="D31" s="33"/>
      <c r="E31" s="31">
        <v>55</v>
      </c>
      <c r="F31" s="31">
        <v>0</v>
      </c>
      <c r="G31" s="33">
        <v>0</v>
      </c>
      <c r="H31" s="48">
        <v>0</v>
      </c>
      <c r="I31" s="49">
        <v>0</v>
      </c>
    </row>
    <row r="32" spans="1:9" ht="57.75" customHeight="1">
      <c r="A32" s="22" t="s">
        <v>19</v>
      </c>
      <c r="B32" s="32" t="s">
        <v>35</v>
      </c>
      <c r="C32" s="31">
        <v>200</v>
      </c>
      <c r="D32" s="33"/>
      <c r="E32" s="31"/>
      <c r="F32" s="31">
        <v>200</v>
      </c>
      <c r="G32" s="33">
        <v>0</v>
      </c>
      <c r="H32" s="74">
        <v>-5.93</v>
      </c>
      <c r="I32" s="75">
        <v>194.07</v>
      </c>
    </row>
    <row r="33" spans="1:9" ht="54" customHeight="1">
      <c r="A33" s="22" t="s">
        <v>19</v>
      </c>
      <c r="B33" s="46" t="s">
        <v>17</v>
      </c>
      <c r="C33" s="31">
        <v>611.7</v>
      </c>
      <c r="D33" s="59">
        <v>0.673</v>
      </c>
      <c r="E33" s="31"/>
      <c r="F33" s="31">
        <v>200</v>
      </c>
      <c r="G33" s="33">
        <v>0</v>
      </c>
      <c r="H33" s="48">
        <v>13</v>
      </c>
      <c r="I33" s="49">
        <v>213</v>
      </c>
    </row>
    <row r="34" spans="1:9" ht="48.75" customHeight="1">
      <c r="A34" s="22" t="s">
        <v>19</v>
      </c>
      <c r="B34" s="46" t="s">
        <v>9</v>
      </c>
      <c r="C34" s="31">
        <v>10</v>
      </c>
      <c r="D34" s="33"/>
      <c r="E34" s="31">
        <v>10</v>
      </c>
      <c r="F34" s="31">
        <v>0</v>
      </c>
      <c r="G34" s="33">
        <v>0</v>
      </c>
      <c r="H34" s="74">
        <v>0</v>
      </c>
      <c r="I34" s="75">
        <v>0</v>
      </c>
    </row>
    <row r="35" spans="1:9" ht="57" customHeight="1">
      <c r="A35" s="22" t="s">
        <v>21</v>
      </c>
      <c r="B35" s="46" t="s">
        <v>34</v>
      </c>
      <c r="C35" s="31">
        <v>13</v>
      </c>
      <c r="D35" s="33"/>
      <c r="E35" s="31">
        <v>13</v>
      </c>
      <c r="F35" s="31">
        <v>0</v>
      </c>
      <c r="G35" s="33">
        <v>0</v>
      </c>
      <c r="H35" s="48">
        <v>0</v>
      </c>
      <c r="I35" s="49">
        <v>0</v>
      </c>
    </row>
    <row r="36" spans="1:9" ht="54" customHeight="1">
      <c r="A36" s="22" t="s">
        <v>19</v>
      </c>
      <c r="B36" s="46" t="s">
        <v>58</v>
      </c>
      <c r="C36" s="81">
        <v>10</v>
      </c>
      <c r="D36" s="33"/>
      <c r="E36" s="33"/>
      <c r="F36" s="31">
        <v>10</v>
      </c>
      <c r="G36" s="33">
        <v>0</v>
      </c>
      <c r="H36" s="74">
        <v>-0.46</v>
      </c>
      <c r="I36" s="75">
        <v>9.54</v>
      </c>
    </row>
    <row r="37" spans="1:9" ht="32.25" customHeight="1">
      <c r="A37" s="22"/>
      <c r="B37" s="43" t="s">
        <v>10</v>
      </c>
      <c r="C37" s="29">
        <f>SUM(C38+C39+C40)</f>
        <v>656</v>
      </c>
      <c r="D37" s="30"/>
      <c r="E37" s="29">
        <f>SUM(E38:E40)</f>
        <v>40</v>
      </c>
      <c r="F37" s="29">
        <f>SUM(F38:F40)</f>
        <v>616</v>
      </c>
      <c r="G37" s="33">
        <v>0</v>
      </c>
      <c r="H37" s="44">
        <v>-5</v>
      </c>
      <c r="I37" s="45">
        <f>SUM(I38+I39+I40)</f>
        <v>611</v>
      </c>
    </row>
    <row r="38" spans="1:9" ht="54" customHeight="1">
      <c r="A38" s="22" t="s">
        <v>19</v>
      </c>
      <c r="B38" s="46" t="s">
        <v>59</v>
      </c>
      <c r="C38" s="31">
        <v>601</v>
      </c>
      <c r="D38" s="33"/>
      <c r="E38" s="33"/>
      <c r="F38" s="31">
        <v>601</v>
      </c>
      <c r="G38" s="33">
        <v>0</v>
      </c>
      <c r="H38" s="48">
        <v>0</v>
      </c>
      <c r="I38" s="49">
        <v>601</v>
      </c>
    </row>
    <row r="39" spans="1:10" ht="53.25" customHeight="1">
      <c r="A39" s="22" t="s">
        <v>19</v>
      </c>
      <c r="B39" s="46" t="s">
        <v>36</v>
      </c>
      <c r="C39" s="31">
        <v>15</v>
      </c>
      <c r="D39" s="33"/>
      <c r="E39" s="31"/>
      <c r="F39" s="31">
        <v>15</v>
      </c>
      <c r="G39" s="33">
        <v>0</v>
      </c>
      <c r="H39" s="48">
        <v>-5</v>
      </c>
      <c r="I39" s="49">
        <v>10</v>
      </c>
      <c r="J39" s="17" t="s">
        <v>205</v>
      </c>
    </row>
    <row r="40" spans="1:9" ht="61.5" customHeight="1">
      <c r="A40" s="22" t="s">
        <v>37</v>
      </c>
      <c r="B40" s="46" t="s">
        <v>38</v>
      </c>
      <c r="C40" s="31">
        <v>40</v>
      </c>
      <c r="D40" s="33"/>
      <c r="E40" s="31">
        <v>40</v>
      </c>
      <c r="F40" s="31">
        <v>0</v>
      </c>
      <c r="G40" s="33">
        <v>0</v>
      </c>
      <c r="H40" s="48">
        <v>0</v>
      </c>
      <c r="I40" s="49">
        <v>0</v>
      </c>
    </row>
    <row r="41" spans="1:9" ht="33.75" customHeight="1">
      <c r="A41" s="24"/>
      <c r="B41" s="60" t="s">
        <v>39</v>
      </c>
      <c r="C41" s="29">
        <f>C42+C49+C50+C51+C52</f>
        <v>3083.2</v>
      </c>
      <c r="D41" s="30"/>
      <c r="E41" s="29">
        <f>E42+E50+E51+E52+E49</f>
        <v>1000</v>
      </c>
      <c r="F41" s="29">
        <v>2083.2</v>
      </c>
      <c r="G41" s="33">
        <v>0</v>
      </c>
      <c r="H41" s="44">
        <v>-1</v>
      </c>
      <c r="I41" s="45">
        <f>SUM(I42+I49+I50+I51+I52)</f>
        <v>2082.2</v>
      </c>
    </row>
    <row r="42" spans="1:9" ht="51" customHeight="1">
      <c r="A42" s="24" t="s">
        <v>40</v>
      </c>
      <c r="B42" s="51" t="s">
        <v>41</v>
      </c>
      <c r="C42" s="56">
        <v>935</v>
      </c>
      <c r="D42" s="33"/>
      <c r="E42" s="33"/>
      <c r="F42" s="31">
        <v>927.8</v>
      </c>
      <c r="G42" s="33">
        <v>0</v>
      </c>
      <c r="H42" s="61">
        <v>0</v>
      </c>
      <c r="I42" s="49">
        <v>927.8</v>
      </c>
    </row>
    <row r="43" spans="1:11" ht="24.75" customHeight="1">
      <c r="A43" s="25"/>
      <c r="B43" s="53" t="s">
        <v>62</v>
      </c>
      <c r="C43" s="68">
        <v>378.9</v>
      </c>
      <c r="D43" s="69" t="s">
        <v>203</v>
      </c>
      <c r="E43" s="69"/>
      <c r="F43" s="76">
        <v>378.9</v>
      </c>
      <c r="G43" s="69">
        <v>0</v>
      </c>
      <c r="H43" s="61">
        <v>0</v>
      </c>
      <c r="I43" s="79">
        <v>378.9</v>
      </c>
      <c r="K43" s="17" t="s">
        <v>204</v>
      </c>
    </row>
    <row r="44" spans="1:9" ht="21.75" customHeight="1">
      <c r="A44" s="25"/>
      <c r="B44" s="53" t="s">
        <v>63</v>
      </c>
      <c r="C44" s="68">
        <v>17.7</v>
      </c>
      <c r="D44" s="69"/>
      <c r="E44" s="69"/>
      <c r="F44" s="76">
        <v>17.7</v>
      </c>
      <c r="G44" s="69">
        <v>0</v>
      </c>
      <c r="H44" s="61">
        <v>0</v>
      </c>
      <c r="I44" s="79">
        <v>17.7</v>
      </c>
    </row>
    <row r="45" spans="1:9" ht="21.75" customHeight="1">
      <c r="A45" s="25"/>
      <c r="B45" s="53" t="s">
        <v>64</v>
      </c>
      <c r="C45" s="68">
        <v>167.5</v>
      </c>
      <c r="D45" s="69"/>
      <c r="E45" s="69"/>
      <c r="F45" s="76">
        <v>167.5</v>
      </c>
      <c r="G45" s="69">
        <v>0</v>
      </c>
      <c r="H45" s="61">
        <v>0</v>
      </c>
      <c r="I45" s="79">
        <v>167.5</v>
      </c>
    </row>
    <row r="46" spans="1:9" ht="24.75" customHeight="1">
      <c r="A46" s="25"/>
      <c r="B46" s="53" t="s">
        <v>65</v>
      </c>
      <c r="C46" s="68">
        <v>43.1</v>
      </c>
      <c r="D46" s="69"/>
      <c r="E46" s="69"/>
      <c r="F46" s="76">
        <v>43.1</v>
      </c>
      <c r="G46" s="69">
        <v>0</v>
      </c>
      <c r="H46" s="61">
        <v>0</v>
      </c>
      <c r="I46" s="79">
        <v>43.1</v>
      </c>
    </row>
    <row r="47" spans="1:9" ht="34.5" customHeight="1">
      <c r="A47" s="25"/>
      <c r="B47" s="53" t="s">
        <v>66</v>
      </c>
      <c r="C47" s="68">
        <v>97.8</v>
      </c>
      <c r="D47" s="69"/>
      <c r="E47" s="69"/>
      <c r="F47" s="76">
        <v>97.8</v>
      </c>
      <c r="G47" s="69">
        <v>0</v>
      </c>
      <c r="H47" s="61">
        <v>0</v>
      </c>
      <c r="I47" s="79">
        <v>97.8</v>
      </c>
    </row>
    <row r="48" spans="1:9" ht="50.25" customHeight="1">
      <c r="A48" s="25"/>
      <c r="B48" s="53" t="s">
        <v>67</v>
      </c>
      <c r="C48" s="70">
        <v>230</v>
      </c>
      <c r="D48" s="71"/>
      <c r="E48" s="69"/>
      <c r="F48" s="77">
        <v>222.8</v>
      </c>
      <c r="G48" s="71">
        <v>0</v>
      </c>
      <c r="H48" s="78">
        <v>0</v>
      </c>
      <c r="I48" s="80">
        <v>222.8</v>
      </c>
    </row>
    <row r="49" spans="1:9" ht="50.25" customHeight="1">
      <c r="A49" s="22"/>
      <c r="B49" s="46" t="s">
        <v>61</v>
      </c>
      <c r="C49" s="62">
        <v>563.2</v>
      </c>
      <c r="D49" s="52"/>
      <c r="E49" s="10"/>
      <c r="F49" s="34">
        <v>570.4</v>
      </c>
      <c r="G49" s="52">
        <v>0</v>
      </c>
      <c r="H49" s="63">
        <v>-1</v>
      </c>
      <c r="I49" s="64">
        <v>569.4</v>
      </c>
    </row>
    <row r="50" spans="1:9" s="36" customFormat="1" ht="48.75" customHeight="1">
      <c r="A50" s="22" t="s">
        <v>43</v>
      </c>
      <c r="B50" s="46" t="s">
        <v>18</v>
      </c>
      <c r="C50" s="56">
        <v>35</v>
      </c>
      <c r="D50" s="33"/>
      <c r="E50" s="33"/>
      <c r="F50" s="31">
        <v>35</v>
      </c>
      <c r="G50" s="33">
        <v>0</v>
      </c>
      <c r="H50" s="48">
        <v>0</v>
      </c>
      <c r="I50" s="65">
        <v>35</v>
      </c>
    </row>
    <row r="51" spans="1:9" ht="51.75" customHeight="1">
      <c r="A51" s="26" t="s">
        <v>42</v>
      </c>
      <c r="B51" s="50" t="s">
        <v>44</v>
      </c>
      <c r="C51" s="35">
        <v>1000</v>
      </c>
      <c r="D51" s="54"/>
      <c r="E51" s="35">
        <v>1000</v>
      </c>
      <c r="F51" s="35">
        <v>0</v>
      </c>
      <c r="G51" s="54">
        <v>0</v>
      </c>
      <c r="H51" s="66">
        <v>0</v>
      </c>
      <c r="I51" s="67">
        <v>0</v>
      </c>
    </row>
    <row r="52" spans="1:9" ht="51" customHeight="1">
      <c r="A52" s="26" t="s">
        <v>42</v>
      </c>
      <c r="B52" s="50" t="s">
        <v>60</v>
      </c>
      <c r="C52" s="35">
        <v>550</v>
      </c>
      <c r="D52" s="54"/>
      <c r="E52" s="54"/>
      <c r="F52" s="35">
        <v>550</v>
      </c>
      <c r="G52" s="54">
        <v>0</v>
      </c>
      <c r="H52" s="66">
        <v>0</v>
      </c>
      <c r="I52" s="67">
        <v>550</v>
      </c>
    </row>
    <row r="53" spans="1:10" ht="24.75" customHeight="1">
      <c r="A53" s="27"/>
      <c r="B53" s="8" t="s">
        <v>11</v>
      </c>
      <c r="C53" s="13">
        <f>C41+C37+C11</f>
        <v>9970</v>
      </c>
      <c r="D53" s="13"/>
      <c r="E53" s="13">
        <f>E11+E37+E41</f>
        <v>3204.33</v>
      </c>
      <c r="F53" s="13">
        <f>F41+F37+F11</f>
        <v>5378.799999999999</v>
      </c>
      <c r="G53" s="10">
        <v>0</v>
      </c>
      <c r="H53" s="45">
        <v>-15.4</v>
      </c>
      <c r="I53" s="13">
        <f>I41+I37+I11</f>
        <v>5363.4</v>
      </c>
      <c r="J53" s="17" t="s">
        <v>202</v>
      </c>
    </row>
    <row r="54" ht="16.5">
      <c r="A54" s="28"/>
    </row>
    <row r="55" ht="16.5">
      <c r="A55" s="28" t="s">
        <v>53</v>
      </c>
    </row>
    <row r="56" spans="1:9" ht="16.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6.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6.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6.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6.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6.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6.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6.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6.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6.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6.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6.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6.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6.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6.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6.5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6.5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6.5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6.5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6.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6.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6.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6.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6.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6.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6.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6.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6.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6.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6.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6.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6.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6.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6.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6.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6.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6.5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6.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6.5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6.5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6.5">
      <c r="A96" s="28"/>
      <c r="B96" s="28"/>
      <c r="C96" s="28"/>
      <c r="D96" s="28"/>
      <c r="E96" s="28"/>
      <c r="F96" s="28"/>
      <c r="G96" s="28"/>
      <c r="H96" s="28"/>
      <c r="I96" s="28"/>
    </row>
    <row r="97" spans="1:9" ht="16.5">
      <c r="A97" s="28"/>
      <c r="B97" s="28"/>
      <c r="C97" s="28"/>
      <c r="D97" s="28"/>
      <c r="E97" s="28"/>
      <c r="F97" s="28"/>
      <c r="G97" s="28"/>
      <c r="H97" s="28"/>
      <c r="I97" s="28"/>
    </row>
    <row r="98" spans="1:9" ht="16.5">
      <c r="A98" s="28"/>
      <c r="B98" s="28"/>
      <c r="C98" s="28"/>
      <c r="D98" s="28"/>
      <c r="E98" s="28"/>
      <c r="F98" s="28"/>
      <c r="G98" s="28"/>
      <c r="H98" s="28"/>
      <c r="I98" s="28"/>
    </row>
    <row r="99" spans="1:9" ht="16.5">
      <c r="A99" s="28"/>
      <c r="B99" s="28"/>
      <c r="C99" s="28"/>
      <c r="D99" s="28"/>
      <c r="E99" s="28"/>
      <c r="F99" s="28"/>
      <c r="G99" s="28"/>
      <c r="H99" s="28"/>
      <c r="I99" s="28"/>
    </row>
    <row r="100" spans="1:9" ht="16.5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ht="16.5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ht="16.5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16.5">
      <c r="A103" s="28"/>
      <c r="B103" s="28"/>
      <c r="C103" s="28"/>
      <c r="D103" s="28"/>
      <c r="E103" s="28"/>
      <c r="F103" s="28"/>
      <c r="G103" s="28"/>
      <c r="H103" s="28"/>
      <c r="I103" s="28"/>
    </row>
    <row r="104" spans="1:9" ht="16.5">
      <c r="A104" s="28"/>
      <c r="B104" s="28"/>
      <c r="C104" s="28"/>
      <c r="D104" s="28"/>
      <c r="E104" s="28"/>
      <c r="F104" s="28"/>
      <c r="G104" s="28"/>
      <c r="H104" s="28"/>
      <c r="I104" s="28"/>
    </row>
    <row r="105" spans="1:9" ht="16.5">
      <c r="A105" s="28"/>
      <c r="B105" s="28"/>
      <c r="C105" s="28"/>
      <c r="D105" s="28"/>
      <c r="E105" s="28"/>
      <c r="F105" s="28"/>
      <c r="G105" s="28"/>
      <c r="H105" s="28"/>
      <c r="I105" s="28"/>
    </row>
    <row r="106" spans="1:9" ht="16.5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 ht="16.5">
      <c r="A107" s="28"/>
      <c r="B107" s="28"/>
      <c r="C107" s="28"/>
      <c r="D107" s="28"/>
      <c r="E107" s="28"/>
      <c r="F107" s="28"/>
      <c r="G107" s="28"/>
      <c r="H107" s="28"/>
      <c r="I107" s="28"/>
    </row>
    <row r="108" spans="1:9" ht="16.5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9" ht="16.5">
      <c r="A109" s="28"/>
      <c r="B109" s="28"/>
      <c r="C109" s="28"/>
      <c r="D109" s="28"/>
      <c r="E109" s="28"/>
      <c r="F109" s="28"/>
      <c r="G109" s="28"/>
      <c r="H109" s="28"/>
      <c r="I109" s="28"/>
    </row>
    <row r="110" spans="1:9" ht="16.5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 ht="16.5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 ht="16.5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ht="16.5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1:9" ht="16.5">
      <c r="A114" s="28"/>
      <c r="B114" s="28"/>
      <c r="C114" s="28"/>
      <c r="D114" s="28"/>
      <c r="E114" s="28"/>
      <c r="F114" s="28"/>
      <c r="G114" s="28"/>
      <c r="H114" s="28"/>
      <c r="I114" s="28"/>
    </row>
    <row r="115" spans="1:9" ht="16.5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6.5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ht="16.5">
      <c r="A117" s="28"/>
      <c r="B117" s="28"/>
      <c r="C117" s="28"/>
      <c r="D117" s="28"/>
      <c r="E117" s="28"/>
      <c r="F117" s="28"/>
      <c r="G117" s="28"/>
      <c r="H117" s="28"/>
      <c r="I117" s="28"/>
    </row>
    <row r="118" spans="1:9" ht="16.5">
      <c r="A118" s="28"/>
      <c r="B118" s="28"/>
      <c r="C118" s="28"/>
      <c r="D118" s="28"/>
      <c r="E118" s="28"/>
      <c r="F118" s="28"/>
      <c r="G118" s="28"/>
      <c r="H118" s="28"/>
      <c r="I118" s="28"/>
    </row>
    <row r="119" spans="1:9" ht="16.5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 ht="16.5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ht="16.5">
      <c r="A121" s="28"/>
      <c r="B121" s="28"/>
      <c r="C121" s="28"/>
      <c r="D121" s="28"/>
      <c r="E121" s="28"/>
      <c r="F121" s="28"/>
      <c r="G121" s="28"/>
      <c r="H121" s="28"/>
      <c r="I121" s="28"/>
    </row>
    <row r="122" spans="1:9" ht="16.5">
      <c r="A122" s="28"/>
      <c r="B122" s="28"/>
      <c r="C122" s="28"/>
      <c r="D122" s="28"/>
      <c r="E122" s="28"/>
      <c r="F122" s="28"/>
      <c r="G122" s="28"/>
      <c r="H122" s="28"/>
      <c r="I122" s="28"/>
    </row>
    <row r="123" spans="1:9" ht="16.5">
      <c r="A123" s="28"/>
      <c r="B123" s="28"/>
      <c r="C123" s="28"/>
      <c r="D123" s="28"/>
      <c r="E123" s="28"/>
      <c r="F123" s="28"/>
      <c r="G123" s="28"/>
      <c r="H123" s="28"/>
      <c r="I123" s="28"/>
    </row>
    <row r="124" spans="1:9" ht="16.5">
      <c r="A124" s="28"/>
      <c r="B124" s="28"/>
      <c r="C124" s="28"/>
      <c r="D124" s="28"/>
      <c r="E124" s="28"/>
      <c r="F124" s="28"/>
      <c r="G124" s="28"/>
      <c r="H124" s="28"/>
      <c r="I124" s="28"/>
    </row>
    <row r="125" spans="1:9" ht="16.5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6.5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 ht="16.5">
      <c r="A127" s="28"/>
      <c r="B127" s="28"/>
      <c r="C127" s="28"/>
      <c r="D127" s="28"/>
      <c r="E127" s="28"/>
      <c r="F127" s="28"/>
      <c r="G127" s="28"/>
      <c r="H127" s="28"/>
      <c r="I127" s="28"/>
    </row>
    <row r="128" spans="1:9" ht="16.5">
      <c r="A128" s="28"/>
      <c r="B128" s="28"/>
      <c r="C128" s="28"/>
      <c r="D128" s="28"/>
      <c r="E128" s="28"/>
      <c r="F128" s="28"/>
      <c r="G128" s="28"/>
      <c r="H128" s="28"/>
      <c r="I128" s="28"/>
    </row>
    <row r="129" spans="1:9" ht="16.5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 ht="16.5">
      <c r="A130" s="28"/>
      <c r="B130" s="28"/>
      <c r="C130" s="28"/>
      <c r="D130" s="28"/>
      <c r="E130" s="28"/>
      <c r="F130" s="28"/>
      <c r="G130" s="28"/>
      <c r="H130" s="28"/>
      <c r="I130" s="28"/>
    </row>
    <row r="131" spans="1:9" ht="16.5">
      <c r="A131" s="28"/>
      <c r="B131" s="28"/>
      <c r="C131" s="28"/>
      <c r="D131" s="28"/>
      <c r="E131" s="28"/>
      <c r="F131" s="28"/>
      <c r="G131" s="28"/>
      <c r="H131" s="28"/>
      <c r="I131" s="28"/>
    </row>
    <row r="132" spans="1:9" ht="16.5">
      <c r="A132" s="28"/>
      <c r="B132" s="28"/>
      <c r="C132" s="28"/>
      <c r="D132" s="28"/>
      <c r="E132" s="28"/>
      <c r="F132" s="28"/>
      <c r="G132" s="28"/>
      <c r="H132" s="28"/>
      <c r="I132" s="28"/>
    </row>
    <row r="133" spans="1:9" ht="16.5">
      <c r="A133" s="28"/>
      <c r="B133" s="28"/>
      <c r="C133" s="28"/>
      <c r="D133" s="28"/>
      <c r="E133" s="28"/>
      <c r="F133" s="28"/>
      <c r="G133" s="28"/>
      <c r="H133" s="28"/>
      <c r="I133" s="28"/>
    </row>
    <row r="134" spans="1:9" ht="16.5">
      <c r="A134" s="28"/>
      <c r="B134" s="28"/>
      <c r="C134" s="28"/>
      <c r="D134" s="28"/>
      <c r="E134" s="28"/>
      <c r="F134" s="28"/>
      <c r="G134" s="28"/>
      <c r="H134" s="28"/>
      <c r="I134" s="28"/>
    </row>
    <row r="135" spans="1:9" ht="16.5">
      <c r="A135" s="28"/>
      <c r="B135" s="28"/>
      <c r="C135" s="28"/>
      <c r="D135" s="28"/>
      <c r="E135" s="28"/>
      <c r="F135" s="28"/>
      <c r="G135" s="28"/>
      <c r="H135" s="28"/>
      <c r="I135" s="28"/>
    </row>
    <row r="136" spans="1:9" ht="16.5">
      <c r="A136" s="28"/>
      <c r="B136" s="28"/>
      <c r="C136" s="28"/>
      <c r="D136" s="28"/>
      <c r="E136" s="28"/>
      <c r="F136" s="28"/>
      <c r="G136" s="28"/>
      <c r="H136" s="28"/>
      <c r="I136" s="28"/>
    </row>
    <row r="137" spans="1:9" ht="16.5">
      <c r="A137" s="28"/>
      <c r="B137" s="28"/>
      <c r="C137" s="28"/>
      <c r="D137" s="28"/>
      <c r="E137" s="28"/>
      <c r="F137" s="28"/>
      <c r="G137" s="28"/>
      <c r="H137" s="28"/>
      <c r="I137" s="28"/>
    </row>
    <row r="138" spans="1:9" ht="16.5">
      <c r="A138" s="28"/>
      <c r="B138" s="28"/>
      <c r="C138" s="28"/>
      <c r="D138" s="28"/>
      <c r="E138" s="28"/>
      <c r="F138" s="28"/>
      <c r="G138" s="28"/>
      <c r="H138" s="28"/>
      <c r="I138" s="28"/>
    </row>
    <row r="139" spans="1:9" ht="16.5">
      <c r="A139" s="28"/>
      <c r="B139" s="28"/>
      <c r="C139" s="28"/>
      <c r="D139" s="28"/>
      <c r="E139" s="28"/>
      <c r="F139" s="28"/>
      <c r="G139" s="28"/>
      <c r="H139" s="28"/>
      <c r="I139" s="28"/>
    </row>
    <row r="140" spans="1:9" ht="16.5">
      <c r="A140" s="28"/>
      <c r="B140" s="28"/>
      <c r="C140" s="28"/>
      <c r="D140" s="28"/>
      <c r="E140" s="28"/>
      <c r="F140" s="28"/>
      <c r="G140" s="28"/>
      <c r="H140" s="28"/>
      <c r="I140" s="28"/>
    </row>
    <row r="141" spans="1:9" ht="16.5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1:9" ht="16.5">
      <c r="A142" s="28"/>
      <c r="B142" s="28"/>
      <c r="C142" s="28"/>
      <c r="D142" s="28"/>
      <c r="E142" s="28"/>
      <c r="F142" s="28"/>
      <c r="G142" s="28"/>
      <c r="H142" s="28"/>
      <c r="I142" s="28"/>
    </row>
    <row r="143" spans="1:9" ht="16.5">
      <c r="A143" s="28"/>
      <c r="B143" s="28"/>
      <c r="C143" s="28"/>
      <c r="D143" s="28"/>
      <c r="E143" s="28"/>
      <c r="F143" s="28"/>
      <c r="G143" s="28"/>
      <c r="H143" s="28"/>
      <c r="I143" s="28"/>
    </row>
    <row r="144" spans="1:9" ht="16.5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 ht="16.5">
      <c r="A145" s="28"/>
      <c r="B145" s="28"/>
      <c r="C145" s="28"/>
      <c r="D145" s="28"/>
      <c r="E145" s="28"/>
      <c r="F145" s="28"/>
      <c r="G145" s="28"/>
      <c r="H145" s="28"/>
      <c r="I145" s="28"/>
    </row>
    <row r="146" spans="1:9" ht="16.5">
      <c r="A146" s="28"/>
      <c r="B146" s="28"/>
      <c r="C146" s="28"/>
      <c r="D146" s="28"/>
      <c r="E146" s="28"/>
      <c r="F146" s="28"/>
      <c r="G146" s="28"/>
      <c r="H146" s="28"/>
      <c r="I146" s="28"/>
    </row>
    <row r="147" spans="1:9" ht="16.5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 ht="16.5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ht="16.5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 ht="16.5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 ht="16.5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 ht="16.5">
      <c r="A152" s="28"/>
      <c r="B152" s="28"/>
      <c r="C152" s="28"/>
      <c r="D152" s="28"/>
      <c r="E152" s="28"/>
      <c r="F152" s="28"/>
      <c r="G152" s="28"/>
      <c r="H152" s="28"/>
      <c r="I152" s="28"/>
    </row>
    <row r="153" spans="1:9" ht="16.5">
      <c r="A153" s="28"/>
      <c r="B153" s="28"/>
      <c r="C153" s="28"/>
      <c r="D153" s="28"/>
      <c r="E153" s="28"/>
      <c r="F153" s="28"/>
      <c r="G153" s="28"/>
      <c r="H153" s="28"/>
      <c r="I153" s="28"/>
    </row>
    <row r="154" spans="1:9" ht="16.5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 ht="16.5">
      <c r="A155" s="28"/>
      <c r="B155" s="28"/>
      <c r="C155" s="28"/>
      <c r="D155" s="28"/>
      <c r="E155" s="28"/>
      <c r="F155" s="28"/>
      <c r="G155" s="28"/>
      <c r="H155" s="28"/>
      <c r="I155" s="28"/>
    </row>
    <row r="156" spans="1:9" ht="16.5">
      <c r="A156" s="28"/>
      <c r="B156" s="28"/>
      <c r="C156" s="28"/>
      <c r="D156" s="28"/>
      <c r="E156" s="28"/>
      <c r="F156" s="28"/>
      <c r="G156" s="28"/>
      <c r="H156" s="28"/>
      <c r="I156" s="28"/>
    </row>
    <row r="157" spans="1:9" ht="16.5">
      <c r="A157" s="28"/>
      <c r="B157" s="28"/>
      <c r="C157" s="28"/>
      <c r="D157" s="28"/>
      <c r="E157" s="28"/>
      <c r="F157" s="28"/>
      <c r="G157" s="28"/>
      <c r="H157" s="28"/>
      <c r="I157" s="28"/>
    </row>
    <row r="158" spans="1:9" ht="16.5">
      <c r="A158" s="28"/>
      <c r="B158" s="28"/>
      <c r="C158" s="28"/>
      <c r="D158" s="28"/>
      <c r="E158" s="28"/>
      <c r="F158" s="28"/>
      <c r="G158" s="28"/>
      <c r="H158" s="28"/>
      <c r="I158" s="28"/>
    </row>
    <row r="159" spans="1:9" ht="16.5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 ht="16.5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 ht="16.5">
      <c r="A161" s="28"/>
      <c r="B161" s="28"/>
      <c r="C161" s="28"/>
      <c r="D161" s="28"/>
      <c r="E161" s="28"/>
      <c r="F161" s="28"/>
      <c r="G161" s="28"/>
      <c r="H161" s="28"/>
      <c r="I161" s="28"/>
    </row>
    <row r="162" spans="1:9" ht="16.5">
      <c r="A162" s="28"/>
      <c r="B162" s="28"/>
      <c r="C162" s="28"/>
      <c r="D162" s="28"/>
      <c r="E162" s="28"/>
      <c r="F162" s="28"/>
      <c r="G162" s="28"/>
      <c r="H162" s="28"/>
      <c r="I162" s="28"/>
    </row>
    <row r="163" spans="1:9" ht="16.5">
      <c r="A163" s="28"/>
      <c r="B163" s="28"/>
      <c r="C163" s="28"/>
      <c r="D163" s="28"/>
      <c r="E163" s="28"/>
      <c r="F163" s="28"/>
      <c r="G163" s="28"/>
      <c r="H163" s="28"/>
      <c r="I163" s="28"/>
    </row>
    <row r="164" spans="1:9" ht="16.5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ht="16.5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 ht="16.5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 ht="16.5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ht="16.5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 ht="16.5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ht="16.5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 ht="16.5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 ht="16.5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16.5">
      <c r="A173" s="28"/>
      <c r="B173" s="28"/>
      <c r="C173" s="28"/>
      <c r="D173" s="28"/>
      <c r="E173" s="28"/>
      <c r="F173" s="28"/>
      <c r="G173" s="28"/>
      <c r="H173" s="28"/>
      <c r="I173" s="28"/>
    </row>
    <row r="174" spans="1:9" ht="16.5">
      <c r="A174" s="28"/>
      <c r="B174" s="28"/>
      <c r="C174" s="28"/>
      <c r="D174" s="28"/>
      <c r="E174" s="28"/>
      <c r="F174" s="28"/>
      <c r="G174" s="28"/>
      <c r="H174" s="28"/>
      <c r="I174" s="28"/>
    </row>
    <row r="175" spans="1:9" ht="16.5">
      <c r="A175" s="28"/>
      <c r="B175" s="28"/>
      <c r="C175" s="28"/>
      <c r="D175" s="28"/>
      <c r="E175" s="28"/>
      <c r="F175" s="28"/>
      <c r="G175" s="28"/>
      <c r="H175" s="28"/>
      <c r="I175" s="28"/>
    </row>
    <row r="176" spans="1:9" ht="16.5">
      <c r="A176" s="28"/>
      <c r="B176" s="28"/>
      <c r="C176" s="28"/>
      <c r="D176" s="28"/>
      <c r="E176" s="28"/>
      <c r="F176" s="28"/>
      <c r="G176" s="28"/>
      <c r="H176" s="28"/>
      <c r="I176" s="28"/>
    </row>
    <row r="177" spans="1:9" ht="16.5">
      <c r="A177" s="28"/>
      <c r="B177" s="28"/>
      <c r="C177" s="28"/>
      <c r="D177" s="28"/>
      <c r="E177" s="28"/>
      <c r="F177" s="28"/>
      <c r="G177" s="28"/>
      <c r="H177" s="28"/>
      <c r="I177" s="28"/>
    </row>
    <row r="178" spans="1:9" ht="16.5">
      <c r="A178" s="28"/>
      <c r="B178" s="28"/>
      <c r="C178" s="28"/>
      <c r="D178" s="28"/>
      <c r="E178" s="28"/>
      <c r="F178" s="28"/>
      <c r="G178" s="28"/>
      <c r="H178" s="28"/>
      <c r="I178" s="28"/>
    </row>
    <row r="179" spans="1:9" ht="16.5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16.5">
      <c r="A180" s="28"/>
      <c r="B180" s="28"/>
      <c r="C180" s="28"/>
      <c r="D180" s="28"/>
      <c r="E180" s="28"/>
      <c r="F180" s="28"/>
      <c r="G180" s="28"/>
      <c r="H180" s="28"/>
      <c r="I180" s="28"/>
    </row>
    <row r="181" spans="1:9" ht="16.5">
      <c r="A181" s="28"/>
      <c r="B181" s="28"/>
      <c r="C181" s="28"/>
      <c r="D181" s="28"/>
      <c r="E181" s="28"/>
      <c r="F181" s="28"/>
      <c r="G181" s="28"/>
      <c r="H181" s="28"/>
      <c r="I181" s="28"/>
    </row>
    <row r="182" spans="1:9" ht="16.5">
      <c r="A182" s="28"/>
      <c r="B182" s="28"/>
      <c r="C182" s="28"/>
      <c r="D182" s="28"/>
      <c r="E182" s="28"/>
      <c r="F182" s="28"/>
      <c r="G182" s="28"/>
      <c r="H182" s="28"/>
      <c r="I182" s="28"/>
    </row>
    <row r="183" spans="1:9" ht="16.5">
      <c r="A183" s="28"/>
      <c r="B183" s="28"/>
      <c r="C183" s="28"/>
      <c r="D183" s="28"/>
      <c r="E183" s="28"/>
      <c r="F183" s="28"/>
      <c r="G183" s="28"/>
      <c r="H183" s="28"/>
      <c r="I183" s="28"/>
    </row>
    <row r="184" spans="1:9" ht="16.5">
      <c r="A184" s="28"/>
      <c r="B184" s="28"/>
      <c r="C184" s="28"/>
      <c r="D184" s="28"/>
      <c r="E184" s="28"/>
      <c r="F184" s="28"/>
      <c r="G184" s="28"/>
      <c r="H184" s="28"/>
      <c r="I184" s="28"/>
    </row>
    <row r="185" spans="1:9" ht="16.5">
      <c r="A185" s="28"/>
      <c r="B185" s="28"/>
      <c r="C185" s="28"/>
      <c r="D185" s="28"/>
      <c r="E185" s="28"/>
      <c r="F185" s="28"/>
      <c r="G185" s="28"/>
      <c r="H185" s="28"/>
      <c r="I185" s="28"/>
    </row>
    <row r="186" spans="1:9" ht="16.5">
      <c r="A186" s="28"/>
      <c r="B186" s="28"/>
      <c r="C186" s="28"/>
      <c r="D186" s="28"/>
      <c r="E186" s="28"/>
      <c r="F186" s="28"/>
      <c r="G186" s="28"/>
      <c r="H186" s="28"/>
      <c r="I186" s="28"/>
    </row>
    <row r="187" spans="1:9" ht="16.5">
      <c r="A187" s="28"/>
      <c r="B187" s="28"/>
      <c r="C187" s="28"/>
      <c r="D187" s="28"/>
      <c r="E187" s="28"/>
      <c r="F187" s="28"/>
      <c r="G187" s="28"/>
      <c r="H187" s="28"/>
      <c r="I187" s="28"/>
    </row>
    <row r="188" spans="1:9" ht="16.5">
      <c r="A188" s="28"/>
      <c r="B188" s="28"/>
      <c r="C188" s="28"/>
      <c r="D188" s="28"/>
      <c r="E188" s="28"/>
      <c r="F188" s="28"/>
      <c r="G188" s="28"/>
      <c r="H188" s="28"/>
      <c r="I188" s="28"/>
    </row>
    <row r="189" spans="1:9" ht="16.5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16.5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ht="16.5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6.5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6.5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6.5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6.5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6.5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6.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6.5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6.5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16.5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16.5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16.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6.5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6.5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16.5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6.5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16.5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16.5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16.5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16.5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16.5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16.5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6.5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6.5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6.5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16.5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16.5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6.5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6.5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16.5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16.5">
      <c r="A221" s="28"/>
      <c r="B221" s="28"/>
      <c r="C221" s="28"/>
      <c r="D221" s="28"/>
      <c r="E221" s="28"/>
      <c r="F221" s="28"/>
      <c r="G221" s="28"/>
      <c r="H221" s="28"/>
      <c r="I221" s="28"/>
    </row>
    <row r="222" spans="1:9" ht="16.5">
      <c r="A222" s="28"/>
      <c r="B222" s="28"/>
      <c r="C222" s="28"/>
      <c r="D222" s="28"/>
      <c r="E222" s="28"/>
      <c r="F222" s="28"/>
      <c r="G222" s="28"/>
      <c r="H222" s="28"/>
      <c r="I222" s="28"/>
    </row>
    <row r="223" spans="1:9" ht="16.5">
      <c r="A223" s="28"/>
      <c r="B223" s="28"/>
      <c r="C223" s="28"/>
      <c r="D223" s="28"/>
      <c r="E223" s="28"/>
      <c r="F223" s="28"/>
      <c r="G223" s="28"/>
      <c r="H223" s="28"/>
      <c r="I223" s="28"/>
    </row>
    <row r="224" spans="1:9" ht="16.5">
      <c r="A224" s="28"/>
      <c r="B224" s="28"/>
      <c r="C224" s="28"/>
      <c r="D224" s="28"/>
      <c r="E224" s="28"/>
      <c r="F224" s="28"/>
      <c r="G224" s="28"/>
      <c r="H224" s="28"/>
      <c r="I224" s="28"/>
    </row>
    <row r="225" spans="1:9" ht="16.5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ht="16.5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ht="16.5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ht="16.5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ht="16.5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ht="16.5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ht="16.5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ht="16.5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ht="16.5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ht="16.5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ht="16.5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ht="16.5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ht="16.5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ht="16.5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ht="16.5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ht="16.5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ht="16.5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ht="16.5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ht="16.5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ht="16.5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ht="16.5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ht="16.5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ht="16.5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ht="16.5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ht="16.5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ht="16.5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ht="16.5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ht="16.5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ht="16.5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ht="16.5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ht="16.5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ht="16.5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ht="16.5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ht="16.5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ht="16.5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ht="16.5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ht="16.5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ht="16.5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ht="16.5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ht="16.5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ht="16.5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ht="16.5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ht="16.5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ht="16.5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ht="16.5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ht="16.5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ht="16.5">
      <c r="A271" s="28"/>
      <c r="B271" s="28"/>
      <c r="C271" s="28"/>
      <c r="D271" s="28"/>
      <c r="E271" s="28"/>
      <c r="F271" s="28"/>
      <c r="G271" s="28"/>
      <c r="H271" s="28"/>
      <c r="I271" s="28"/>
    </row>
  </sheetData>
  <sheetProtection/>
  <mergeCells count="4">
    <mergeCell ref="F1:G1"/>
    <mergeCell ref="F2:H2"/>
    <mergeCell ref="A6:I6"/>
    <mergeCell ref="A7:I7"/>
  </mergeCells>
  <printOptions/>
  <pageMargins left="0.6692913385826772" right="0.11811023622047245" top="0.4330708661417323" bottom="0.4724409448818898" header="0.31496062992125984" footer="0.5118110236220472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50" zoomScaleNormal="75" zoomScaleSheetLayoutView="50" zoomScalePageLayoutView="0" workbookViewId="0" topLeftCell="A1">
      <selection activeCell="C9" sqref="C9:F9"/>
    </sheetView>
  </sheetViews>
  <sheetFormatPr defaultColWidth="9.00390625" defaultRowHeight="12.75"/>
  <cols>
    <col min="1" max="1" width="17.375" style="0" customWidth="1"/>
    <col min="2" max="2" width="75.625" style="0" customWidth="1"/>
    <col min="3" max="3" width="22.375" style="0" customWidth="1"/>
    <col min="4" max="4" width="21.125" style="0" customWidth="1"/>
    <col min="5" max="5" width="20.375" style="0" customWidth="1"/>
    <col min="6" max="6" width="22.875" style="0" customWidth="1"/>
    <col min="7" max="7" width="10.25390625" style="0" customWidth="1"/>
    <col min="8" max="8" width="5.875" style="0" customWidth="1"/>
  </cols>
  <sheetData>
    <row r="1" spans="1:3" ht="15.75" customHeight="1">
      <c r="A1" s="344"/>
      <c r="B1" s="344"/>
      <c r="C1" s="17"/>
    </row>
    <row r="2" spans="1:7" ht="25.5" customHeight="1">
      <c r="A2" s="97"/>
      <c r="B2" s="97"/>
      <c r="C2" s="17"/>
      <c r="D2" s="98"/>
      <c r="E2" s="348" t="s">
        <v>236</v>
      </c>
      <c r="F2" s="348"/>
      <c r="G2" s="95"/>
    </row>
    <row r="3" spans="1:7" ht="25.5" customHeight="1">
      <c r="A3" s="17"/>
      <c r="B3" s="17"/>
      <c r="C3" s="17"/>
      <c r="D3" s="347" t="s">
        <v>75</v>
      </c>
      <c r="E3" s="347"/>
      <c r="F3" s="347"/>
      <c r="G3" s="95"/>
    </row>
    <row r="4" spans="1:7" ht="21" customHeight="1">
      <c r="A4" s="17"/>
      <c r="B4" s="17"/>
      <c r="C4" s="17"/>
      <c r="E4" s="120"/>
      <c r="F4" s="129" t="s">
        <v>245</v>
      </c>
      <c r="G4" s="95"/>
    </row>
    <row r="5" spans="1:6" ht="15">
      <c r="A5" s="17"/>
      <c r="B5" s="17"/>
      <c r="C5" s="17"/>
      <c r="D5" s="20"/>
      <c r="E5" s="20"/>
      <c r="F5" s="20"/>
    </row>
    <row r="6" spans="1:6" ht="23.25">
      <c r="A6" s="345" t="s">
        <v>14</v>
      </c>
      <c r="B6" s="345"/>
      <c r="C6" s="345"/>
      <c r="D6" s="345"/>
      <c r="E6" s="345"/>
      <c r="F6" s="345"/>
    </row>
    <row r="7" spans="1:6" ht="22.5" customHeight="1">
      <c r="A7" s="346" t="s">
        <v>72</v>
      </c>
      <c r="B7" s="346"/>
      <c r="C7" s="346"/>
      <c r="D7" s="346"/>
      <c r="E7" s="346"/>
      <c r="F7" s="346"/>
    </row>
    <row r="8" spans="1:6" ht="23.25">
      <c r="A8" s="104"/>
      <c r="B8" s="104"/>
      <c r="C8" s="104"/>
      <c r="D8" s="104"/>
      <c r="E8" s="104"/>
      <c r="F8" s="129" t="s">
        <v>215</v>
      </c>
    </row>
    <row r="9" spans="1:6" ht="249.75" customHeight="1">
      <c r="A9" s="105" t="s">
        <v>74</v>
      </c>
      <c r="B9" s="105" t="s">
        <v>239</v>
      </c>
      <c r="C9" s="105" t="s">
        <v>52</v>
      </c>
      <c r="D9" s="105" t="s">
        <v>4</v>
      </c>
      <c r="E9" s="105" t="s">
        <v>5</v>
      </c>
      <c r="F9" s="105" t="s">
        <v>240</v>
      </c>
    </row>
    <row r="10" spans="1:6" ht="23.25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</row>
    <row r="11" spans="1:6" ht="48.75" customHeight="1">
      <c r="A11" s="106"/>
      <c r="B11" s="342" t="s">
        <v>73</v>
      </c>
      <c r="C11" s="343"/>
      <c r="D11" s="343"/>
      <c r="E11" s="343"/>
      <c r="F11" s="343"/>
    </row>
    <row r="12" spans="1:6" ht="55.5" customHeight="1">
      <c r="A12" s="107"/>
      <c r="B12" s="108" t="s">
        <v>234</v>
      </c>
      <c r="C12" s="109"/>
      <c r="D12" s="110"/>
      <c r="E12" s="110"/>
      <c r="F12" s="109"/>
    </row>
    <row r="13" spans="1:6" ht="121.5" customHeight="1">
      <c r="A13" s="107"/>
      <c r="B13" s="108" t="s">
        <v>238</v>
      </c>
      <c r="C13" s="109">
        <f>C14+C15+C16+C17+C18</f>
        <v>323.25</v>
      </c>
      <c r="D13" s="110"/>
      <c r="E13" s="109">
        <f>E14+E15+E16+E17+E18+E19</f>
        <v>4714.15</v>
      </c>
      <c r="F13" s="111">
        <f>F14+F15+F16+F17+F18</f>
        <v>510</v>
      </c>
    </row>
    <row r="14" spans="1:6" ht="55.5" customHeight="1">
      <c r="A14" s="106" t="s">
        <v>235</v>
      </c>
      <c r="B14" s="112" t="s">
        <v>233</v>
      </c>
      <c r="C14" s="114">
        <v>220.85</v>
      </c>
      <c r="D14" s="114">
        <v>24.3</v>
      </c>
      <c r="E14" s="114">
        <v>689.15</v>
      </c>
      <c r="F14" s="114">
        <v>160</v>
      </c>
    </row>
    <row r="15" spans="1:6" ht="81" customHeight="1">
      <c r="A15" s="106" t="s">
        <v>235</v>
      </c>
      <c r="B15" s="112" t="s">
        <v>76</v>
      </c>
      <c r="C15" s="113">
        <v>100</v>
      </c>
      <c r="D15" s="106">
        <v>12.5</v>
      </c>
      <c r="E15" s="114">
        <v>700</v>
      </c>
      <c r="F15" s="114">
        <v>100</v>
      </c>
    </row>
    <row r="16" spans="1:6" ht="61.5" customHeight="1">
      <c r="A16" s="106" t="s">
        <v>235</v>
      </c>
      <c r="B16" s="112" t="s">
        <v>77</v>
      </c>
      <c r="C16" s="114">
        <v>2.4</v>
      </c>
      <c r="D16" s="114">
        <v>0.8</v>
      </c>
      <c r="E16" s="114">
        <v>300</v>
      </c>
      <c r="F16" s="114">
        <v>40</v>
      </c>
    </row>
    <row r="17" spans="1:6" ht="150.75" customHeight="1">
      <c r="A17" s="121" t="s">
        <v>79</v>
      </c>
      <c r="B17" s="115" t="s">
        <v>78</v>
      </c>
      <c r="C17" s="116">
        <v>0</v>
      </c>
      <c r="D17" s="117">
        <v>0</v>
      </c>
      <c r="E17" s="117">
        <v>500</v>
      </c>
      <c r="F17" s="117">
        <v>200</v>
      </c>
    </row>
    <row r="18" spans="1:6" ht="63.75" customHeight="1">
      <c r="A18" s="122" t="s">
        <v>79</v>
      </c>
      <c r="B18" s="112" t="s">
        <v>80</v>
      </c>
      <c r="C18" s="116">
        <v>0</v>
      </c>
      <c r="D18" s="117">
        <v>0</v>
      </c>
      <c r="E18" s="117">
        <v>300</v>
      </c>
      <c r="F18" s="117">
        <v>10</v>
      </c>
    </row>
    <row r="19" spans="1:6" ht="35.25" customHeight="1">
      <c r="A19" s="122"/>
      <c r="B19" s="112" t="s">
        <v>244</v>
      </c>
      <c r="C19" s="116"/>
      <c r="D19" s="117"/>
      <c r="E19" s="117">
        <f>E20+E21+E22+E23</f>
        <v>2225</v>
      </c>
      <c r="F19" s="117"/>
    </row>
    <row r="20" spans="1:6" ht="80.25" customHeight="1">
      <c r="A20" s="122"/>
      <c r="B20" s="127" t="s">
        <v>82</v>
      </c>
      <c r="C20" s="116">
        <v>0</v>
      </c>
      <c r="D20" s="117">
        <v>0</v>
      </c>
      <c r="E20" s="117">
        <v>1500</v>
      </c>
      <c r="F20" s="117">
        <v>0</v>
      </c>
    </row>
    <row r="21" spans="1:6" ht="84.75" customHeight="1">
      <c r="A21" s="122"/>
      <c r="B21" s="127" t="s">
        <v>85</v>
      </c>
      <c r="C21" s="116">
        <v>0</v>
      </c>
      <c r="D21" s="117">
        <v>0</v>
      </c>
      <c r="E21" s="117">
        <v>200</v>
      </c>
      <c r="F21" s="117">
        <v>0</v>
      </c>
    </row>
    <row r="22" spans="1:6" ht="80.25" customHeight="1">
      <c r="A22" s="122"/>
      <c r="B22" s="128" t="s">
        <v>83</v>
      </c>
      <c r="C22" s="136">
        <v>75</v>
      </c>
      <c r="D22" s="117">
        <v>18.8</v>
      </c>
      <c r="E22" s="117">
        <v>325</v>
      </c>
      <c r="F22" s="117">
        <v>0</v>
      </c>
    </row>
    <row r="23" spans="1:6" ht="95.25" customHeight="1">
      <c r="A23" s="122"/>
      <c r="B23" s="127" t="s">
        <v>84</v>
      </c>
      <c r="C23" s="136">
        <v>0</v>
      </c>
      <c r="D23" s="117">
        <v>0</v>
      </c>
      <c r="E23" s="117">
        <v>200</v>
      </c>
      <c r="F23" s="117">
        <v>0</v>
      </c>
    </row>
    <row r="24" spans="1:6" ht="90.75" customHeight="1">
      <c r="A24" s="106"/>
      <c r="B24" s="108" t="s">
        <v>237</v>
      </c>
      <c r="C24" s="118">
        <v>67.4</v>
      </c>
      <c r="D24" s="118">
        <v>14.4</v>
      </c>
      <c r="E24" s="119">
        <v>400</v>
      </c>
      <c r="F24" s="119">
        <v>100</v>
      </c>
    </row>
    <row r="25" spans="1:6" ht="69.75" customHeight="1" thickBot="1">
      <c r="A25" s="130" t="s">
        <v>235</v>
      </c>
      <c r="B25" s="131" t="s">
        <v>81</v>
      </c>
      <c r="C25" s="132">
        <v>67.4</v>
      </c>
      <c r="D25" s="132">
        <v>14.4</v>
      </c>
      <c r="E25" s="133">
        <v>400</v>
      </c>
      <c r="F25" s="133">
        <v>100</v>
      </c>
    </row>
    <row r="26" spans="1:6" ht="27.75" customHeight="1" thickBot="1">
      <c r="A26" s="134"/>
      <c r="B26" s="135" t="s">
        <v>71</v>
      </c>
      <c r="C26" s="125">
        <f>C13+C24</f>
        <v>390.65</v>
      </c>
      <c r="D26" s="135"/>
      <c r="E26" s="125">
        <f>SUM(E13+E24)</f>
        <v>5114.15</v>
      </c>
      <c r="F26" s="126">
        <f>SUM(F13+F24)</f>
        <v>610</v>
      </c>
    </row>
    <row r="27" spans="1:6" ht="21.75" customHeight="1">
      <c r="A27" s="99"/>
      <c r="B27" s="100"/>
      <c r="C27" s="101"/>
      <c r="D27" s="100"/>
      <c r="E27" s="102"/>
      <c r="F27" s="103"/>
    </row>
    <row r="28" spans="1:6" ht="21.75" customHeight="1">
      <c r="A28" s="99"/>
      <c r="B28" s="100"/>
      <c r="C28" s="101"/>
      <c r="D28" s="100"/>
      <c r="E28" s="102"/>
      <c r="F28" s="103"/>
    </row>
    <row r="29" spans="1:6" ht="15">
      <c r="A29" s="17"/>
      <c r="B29" s="17"/>
      <c r="C29" s="17"/>
      <c r="D29" s="17"/>
      <c r="E29" s="17"/>
      <c r="F29" s="17"/>
    </row>
    <row r="30" spans="1:6" ht="15">
      <c r="A30" s="17"/>
      <c r="B30" s="17"/>
      <c r="C30" s="17"/>
      <c r="D30" s="17"/>
      <c r="E30" s="17"/>
      <c r="F30" s="17"/>
    </row>
    <row r="31" spans="1:6" ht="23.25">
      <c r="A31" s="17"/>
      <c r="B31" s="341" t="s">
        <v>241</v>
      </c>
      <c r="C31" s="341"/>
      <c r="D31" s="104"/>
      <c r="E31" s="104"/>
      <c r="F31" s="104"/>
    </row>
    <row r="32" spans="1:6" ht="23.25">
      <c r="A32" s="17"/>
      <c r="B32" s="341" t="s">
        <v>242</v>
      </c>
      <c r="C32" s="341"/>
      <c r="D32" s="104"/>
      <c r="E32" s="104"/>
      <c r="F32" s="104"/>
    </row>
    <row r="33" spans="1:6" ht="23.25">
      <c r="A33" s="17"/>
      <c r="B33" s="123" t="s">
        <v>243</v>
      </c>
      <c r="C33" s="104"/>
      <c r="D33" s="104"/>
      <c r="E33" s="104"/>
      <c r="F33" s="124" t="s">
        <v>217</v>
      </c>
    </row>
    <row r="34" ht="15">
      <c r="F34" s="17"/>
    </row>
    <row r="35" ht="12.75">
      <c r="B35" s="96"/>
    </row>
    <row r="36" ht="12.75">
      <c r="B36" s="96"/>
    </row>
    <row r="37" ht="15">
      <c r="C37" s="17"/>
    </row>
  </sheetData>
  <sheetProtection/>
  <mergeCells count="8">
    <mergeCell ref="B31:C31"/>
    <mergeCell ref="B32:C32"/>
    <mergeCell ref="B11:F11"/>
    <mergeCell ref="A1:B1"/>
    <mergeCell ref="A6:F6"/>
    <mergeCell ref="A7:F7"/>
    <mergeCell ref="D3:F3"/>
    <mergeCell ref="E2:F2"/>
  </mergeCells>
  <printOptions/>
  <pageMargins left="0.7874015748031497" right="0.1968503937007874" top="0.7874015748031497" bottom="0.7874015748031497" header="0.5118110236220472" footer="0.5118110236220472"/>
  <pageSetup fitToHeight="2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50" zoomScaleNormal="75" zoomScaleSheetLayoutView="50" zoomScalePageLayoutView="0" workbookViewId="0" topLeftCell="A1">
      <selection activeCell="H10" sqref="H10"/>
    </sheetView>
  </sheetViews>
  <sheetFormatPr defaultColWidth="9.00390625" defaultRowHeight="12.75"/>
  <cols>
    <col min="1" max="1" width="18.625" style="0" customWidth="1"/>
    <col min="2" max="2" width="80.75390625" style="0" customWidth="1"/>
    <col min="3" max="3" width="22.375" style="0" customWidth="1"/>
    <col min="4" max="4" width="23.125" style="0" customWidth="1"/>
    <col min="5" max="5" width="22.75390625" style="0" customWidth="1"/>
    <col min="6" max="6" width="22.875" style="0" customWidth="1"/>
    <col min="7" max="7" width="27.375" style="0" customWidth="1"/>
    <col min="8" max="8" width="33.125" style="0" customWidth="1"/>
    <col min="9" max="9" width="5.875" style="0" customWidth="1"/>
  </cols>
  <sheetData>
    <row r="1" spans="1:3" ht="15.75" customHeight="1">
      <c r="A1" s="344"/>
      <c r="B1" s="344"/>
      <c r="C1" s="17"/>
    </row>
    <row r="2" spans="1:8" ht="25.5" customHeight="1">
      <c r="A2" s="97"/>
      <c r="B2" s="97"/>
      <c r="C2" s="17"/>
      <c r="D2" s="98"/>
      <c r="G2" s="348" t="s">
        <v>253</v>
      </c>
      <c r="H2" s="348"/>
    </row>
    <row r="3" spans="1:8" ht="25.5" customHeight="1">
      <c r="A3" s="17"/>
      <c r="B3" s="17"/>
      <c r="C3" s="17"/>
      <c r="G3" s="354" t="s">
        <v>254</v>
      </c>
      <c r="H3" s="354"/>
    </row>
    <row r="4" spans="1:8" ht="21" customHeight="1">
      <c r="A4" s="17"/>
      <c r="B4" s="17"/>
      <c r="C4" s="17"/>
      <c r="E4" s="120"/>
      <c r="G4" s="354" t="s">
        <v>255</v>
      </c>
      <c r="H4" s="354"/>
    </row>
    <row r="5" spans="1:8" ht="21" customHeight="1">
      <c r="A5" s="17"/>
      <c r="B5" s="17"/>
      <c r="C5" s="17"/>
      <c r="E5" s="120"/>
      <c r="G5" s="137"/>
      <c r="H5" s="137"/>
    </row>
    <row r="6" spans="1:8" ht="15">
      <c r="A6" s="17"/>
      <c r="B6" s="17"/>
      <c r="C6" s="17"/>
      <c r="D6" s="20"/>
      <c r="E6" s="20"/>
      <c r="F6" s="20"/>
      <c r="G6" s="20"/>
      <c r="H6" s="20"/>
    </row>
    <row r="7" spans="1:8" ht="27.75">
      <c r="A7" s="353" t="s">
        <v>247</v>
      </c>
      <c r="B7" s="353"/>
      <c r="C7" s="353"/>
      <c r="D7" s="353"/>
      <c r="E7" s="353"/>
      <c r="F7" s="353"/>
      <c r="G7" s="140"/>
      <c r="H7" s="140"/>
    </row>
    <row r="8" spans="1:8" ht="33" customHeight="1">
      <c r="A8" s="352" t="s">
        <v>248</v>
      </c>
      <c r="B8" s="352"/>
      <c r="C8" s="352"/>
      <c r="D8" s="352"/>
      <c r="E8" s="352"/>
      <c r="F8" s="352"/>
      <c r="G8" s="352"/>
      <c r="H8" s="352"/>
    </row>
    <row r="9" spans="1:7" ht="23.25">
      <c r="A9" s="104"/>
      <c r="B9" s="104"/>
      <c r="C9" s="104"/>
      <c r="D9" s="104"/>
      <c r="E9" s="104"/>
      <c r="G9" s="129"/>
    </row>
    <row r="10" spans="1:8" ht="249.75" customHeight="1">
      <c r="A10" s="141" t="s">
        <v>74</v>
      </c>
      <c r="B10" s="142" t="s">
        <v>239</v>
      </c>
      <c r="C10" s="142" t="s">
        <v>90</v>
      </c>
      <c r="D10" s="142" t="s">
        <v>4</v>
      </c>
      <c r="E10" s="142" t="s">
        <v>5</v>
      </c>
      <c r="F10" s="142" t="s">
        <v>93</v>
      </c>
      <c r="G10" s="142" t="s">
        <v>86</v>
      </c>
      <c r="H10" s="142" t="s">
        <v>91</v>
      </c>
    </row>
    <row r="11" spans="1:8" ht="25.5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4">
        <v>6</v>
      </c>
      <c r="G11" s="143">
        <v>7</v>
      </c>
      <c r="H11" s="143">
        <v>8</v>
      </c>
    </row>
    <row r="12" spans="1:8" ht="33.75" customHeight="1">
      <c r="A12" s="143"/>
      <c r="B12" s="355" t="s">
        <v>73</v>
      </c>
      <c r="C12" s="356"/>
      <c r="D12" s="356"/>
      <c r="E12" s="356"/>
      <c r="F12" s="356"/>
      <c r="G12" s="356"/>
      <c r="H12" s="357"/>
    </row>
    <row r="13" spans="1:8" ht="55.5" customHeight="1">
      <c r="A13" s="147"/>
      <c r="B13" s="148" t="s">
        <v>88</v>
      </c>
      <c r="C13" s="149"/>
      <c r="D13" s="150"/>
      <c r="E13" s="150"/>
      <c r="F13" s="151"/>
      <c r="G13" s="149"/>
      <c r="H13" s="149"/>
    </row>
    <row r="14" spans="1:8" ht="133.5" customHeight="1">
      <c r="A14" s="147"/>
      <c r="B14" s="148" t="s">
        <v>238</v>
      </c>
      <c r="C14" s="151">
        <f>SUM(C15:C20)</f>
        <v>4862.4</v>
      </c>
      <c r="D14" s="151"/>
      <c r="E14" s="151">
        <f>SUM(E15:E20)</f>
        <v>4414.15</v>
      </c>
      <c r="F14" s="151">
        <f>SUM(F15:F20)</f>
        <v>510</v>
      </c>
      <c r="G14" s="151">
        <f>SUM(G15:G24)</f>
        <v>250</v>
      </c>
      <c r="H14" s="151">
        <f>SUM(F14+G14)</f>
        <v>760</v>
      </c>
    </row>
    <row r="15" spans="1:8" ht="55.5" customHeight="1">
      <c r="A15" s="143" t="s">
        <v>235</v>
      </c>
      <c r="B15" s="152" t="s">
        <v>96</v>
      </c>
      <c r="C15" s="153">
        <v>910</v>
      </c>
      <c r="D15" s="153">
        <v>24.3</v>
      </c>
      <c r="E15" s="153">
        <v>689.15</v>
      </c>
      <c r="F15" s="154">
        <v>160</v>
      </c>
      <c r="G15" s="153">
        <v>0</v>
      </c>
      <c r="H15" s="153">
        <v>160</v>
      </c>
    </row>
    <row r="16" spans="1:8" ht="90" customHeight="1">
      <c r="A16" s="143" t="s">
        <v>235</v>
      </c>
      <c r="B16" s="152" t="s">
        <v>97</v>
      </c>
      <c r="C16" s="153">
        <v>800</v>
      </c>
      <c r="D16" s="153">
        <v>12.5</v>
      </c>
      <c r="E16" s="153">
        <v>700</v>
      </c>
      <c r="F16" s="154">
        <v>100</v>
      </c>
      <c r="G16" s="153">
        <v>0</v>
      </c>
      <c r="H16" s="153">
        <v>100</v>
      </c>
    </row>
    <row r="17" spans="1:8" ht="66" customHeight="1">
      <c r="A17" s="143" t="s">
        <v>235</v>
      </c>
      <c r="B17" s="152" t="s">
        <v>98</v>
      </c>
      <c r="C17" s="153">
        <v>302.4</v>
      </c>
      <c r="D17" s="153">
        <v>0.8</v>
      </c>
      <c r="E17" s="153">
        <v>300</v>
      </c>
      <c r="F17" s="154">
        <v>50</v>
      </c>
      <c r="G17" s="153">
        <v>0</v>
      </c>
      <c r="H17" s="153">
        <v>50</v>
      </c>
    </row>
    <row r="18" spans="1:8" ht="191.25" customHeight="1">
      <c r="A18" s="155" t="s">
        <v>79</v>
      </c>
      <c r="B18" s="156" t="s">
        <v>101</v>
      </c>
      <c r="C18" s="157">
        <v>500</v>
      </c>
      <c r="D18" s="158">
        <v>0</v>
      </c>
      <c r="E18" s="158">
        <v>500</v>
      </c>
      <c r="F18" s="159">
        <v>200</v>
      </c>
      <c r="G18" s="153">
        <v>0</v>
      </c>
      <c r="H18" s="158">
        <v>200</v>
      </c>
    </row>
    <row r="19" spans="1:8" ht="90.75" customHeight="1">
      <c r="A19" s="143" t="s">
        <v>94</v>
      </c>
      <c r="B19" s="152" t="s">
        <v>249</v>
      </c>
      <c r="C19" s="158">
        <v>50</v>
      </c>
      <c r="D19" s="158">
        <v>0</v>
      </c>
      <c r="E19" s="158"/>
      <c r="F19" s="159">
        <v>0</v>
      </c>
      <c r="G19" s="160">
        <v>50</v>
      </c>
      <c r="H19" s="158">
        <v>50</v>
      </c>
    </row>
    <row r="20" spans="1:8" ht="42.75" customHeight="1">
      <c r="A20" s="161"/>
      <c r="B20" s="152" t="s">
        <v>99</v>
      </c>
      <c r="C20" s="157">
        <f>C21+C22+C23+C24</f>
        <v>2300</v>
      </c>
      <c r="D20" s="158"/>
      <c r="E20" s="158">
        <f>E21+E22+E23+E24</f>
        <v>2225</v>
      </c>
      <c r="F20" s="159"/>
      <c r="G20" s="158">
        <v>0</v>
      </c>
      <c r="H20" s="158">
        <v>0</v>
      </c>
    </row>
    <row r="21" spans="1:8" ht="80.25" customHeight="1">
      <c r="A21" s="161"/>
      <c r="B21" s="162" t="s">
        <v>82</v>
      </c>
      <c r="C21" s="157">
        <v>1500</v>
      </c>
      <c r="D21" s="158">
        <v>0</v>
      </c>
      <c r="E21" s="158">
        <v>1500</v>
      </c>
      <c r="F21" s="159">
        <v>0</v>
      </c>
      <c r="G21" s="158">
        <v>0</v>
      </c>
      <c r="H21" s="158">
        <v>0</v>
      </c>
    </row>
    <row r="22" spans="1:8" ht="84.75" customHeight="1">
      <c r="A22" s="161"/>
      <c r="B22" s="162" t="s">
        <v>85</v>
      </c>
      <c r="C22" s="157">
        <v>200</v>
      </c>
      <c r="D22" s="158">
        <v>0</v>
      </c>
      <c r="E22" s="158">
        <v>200</v>
      </c>
      <c r="F22" s="159">
        <v>0</v>
      </c>
      <c r="G22" s="158">
        <v>0</v>
      </c>
      <c r="H22" s="158">
        <v>0</v>
      </c>
    </row>
    <row r="23" spans="1:8" ht="86.25" customHeight="1">
      <c r="A23" s="143" t="s">
        <v>94</v>
      </c>
      <c r="B23" s="163" t="s">
        <v>83</v>
      </c>
      <c r="C23" s="157">
        <v>400</v>
      </c>
      <c r="D23" s="158">
        <v>18.8</v>
      </c>
      <c r="E23" s="158">
        <v>325</v>
      </c>
      <c r="F23" s="159">
        <v>0</v>
      </c>
      <c r="G23" s="164">
        <v>200</v>
      </c>
      <c r="H23" s="158">
        <v>200</v>
      </c>
    </row>
    <row r="24" spans="1:8" ht="84.75" customHeight="1">
      <c r="A24" s="161"/>
      <c r="B24" s="162" t="s">
        <v>84</v>
      </c>
      <c r="C24" s="157">
        <v>200</v>
      </c>
      <c r="D24" s="158">
        <v>0</v>
      </c>
      <c r="E24" s="158">
        <v>200</v>
      </c>
      <c r="F24" s="159">
        <v>0</v>
      </c>
      <c r="G24" s="158">
        <v>0</v>
      </c>
      <c r="H24" s="158">
        <v>0</v>
      </c>
    </row>
    <row r="25" spans="1:8" ht="96.75" customHeight="1">
      <c r="A25" s="161"/>
      <c r="B25" s="148" t="s">
        <v>237</v>
      </c>
      <c r="C25" s="165">
        <v>1523.44</v>
      </c>
      <c r="D25" s="165"/>
      <c r="E25" s="165">
        <v>1456.04</v>
      </c>
      <c r="F25" s="166">
        <v>100</v>
      </c>
      <c r="G25" s="167">
        <v>0</v>
      </c>
      <c r="H25" s="167">
        <v>100</v>
      </c>
    </row>
    <row r="26" spans="1:8" ht="75.75" customHeight="1">
      <c r="A26" s="168" t="s">
        <v>235</v>
      </c>
      <c r="B26" s="169" t="s">
        <v>95</v>
      </c>
      <c r="C26" s="170">
        <v>1523.44</v>
      </c>
      <c r="D26" s="170">
        <v>4.4</v>
      </c>
      <c r="E26" s="170">
        <v>1456.04</v>
      </c>
      <c r="F26" s="171">
        <v>100</v>
      </c>
      <c r="G26" s="170">
        <v>0</v>
      </c>
      <c r="H26" s="170">
        <v>100</v>
      </c>
    </row>
    <row r="27" spans="1:8" ht="59.25" customHeight="1">
      <c r="A27" s="147"/>
      <c r="B27" s="172" t="s">
        <v>102</v>
      </c>
      <c r="C27" s="173">
        <f>SUM(C14+C25)</f>
        <v>6385.84</v>
      </c>
      <c r="D27" s="173"/>
      <c r="E27" s="173">
        <f>SUM(E14+E25)</f>
        <v>5870.19</v>
      </c>
      <c r="F27" s="173">
        <f>SUM(F14+F25)</f>
        <v>610</v>
      </c>
      <c r="G27" s="173">
        <f>G25+G14</f>
        <v>250</v>
      </c>
      <c r="H27" s="173">
        <f>SUM(F27+G27)</f>
        <v>860</v>
      </c>
    </row>
    <row r="28" spans="1:8" ht="62.25" customHeight="1">
      <c r="A28" s="168"/>
      <c r="B28" s="355" t="s">
        <v>107</v>
      </c>
      <c r="C28" s="356"/>
      <c r="D28" s="356"/>
      <c r="E28" s="356"/>
      <c r="F28" s="356"/>
      <c r="G28" s="356"/>
      <c r="H28" s="357"/>
    </row>
    <row r="29" spans="1:8" ht="51.75" customHeight="1">
      <c r="A29" s="168"/>
      <c r="B29" s="174" t="s">
        <v>89</v>
      </c>
      <c r="C29" s="175"/>
      <c r="D29" s="167"/>
      <c r="E29" s="167"/>
      <c r="F29" s="176"/>
      <c r="G29" s="177"/>
      <c r="H29" s="167"/>
    </row>
    <row r="30" spans="1:8" ht="408.75" customHeight="1">
      <c r="A30" s="161" t="s">
        <v>87</v>
      </c>
      <c r="B30" s="178" t="s">
        <v>103</v>
      </c>
      <c r="C30" s="175">
        <v>200</v>
      </c>
      <c r="D30" s="167"/>
      <c r="E30" s="167">
        <v>0</v>
      </c>
      <c r="F30" s="176">
        <v>200</v>
      </c>
      <c r="G30" s="177" t="s">
        <v>246</v>
      </c>
      <c r="H30" s="167">
        <v>200</v>
      </c>
    </row>
    <row r="31" spans="1:8" ht="65.25" customHeight="1">
      <c r="A31" s="161"/>
      <c r="B31" s="148" t="s">
        <v>88</v>
      </c>
      <c r="C31" s="158"/>
      <c r="D31" s="158"/>
      <c r="E31" s="158"/>
      <c r="F31" s="159"/>
      <c r="G31" s="179"/>
      <c r="H31" s="158"/>
    </row>
    <row r="32" spans="1:8" ht="131.25" customHeight="1">
      <c r="A32" s="145"/>
      <c r="B32" s="152" t="s">
        <v>104</v>
      </c>
      <c r="C32" s="175">
        <v>3555.9</v>
      </c>
      <c r="D32" s="167"/>
      <c r="E32" s="167">
        <v>2742.8</v>
      </c>
      <c r="F32" s="176">
        <v>0</v>
      </c>
      <c r="G32" s="160">
        <v>813.1</v>
      </c>
      <c r="H32" s="167">
        <v>813.1</v>
      </c>
    </row>
    <row r="33" spans="1:8" ht="201.75" customHeight="1">
      <c r="A33" s="349" t="s">
        <v>92</v>
      </c>
      <c r="B33" s="152" t="s">
        <v>106</v>
      </c>
      <c r="C33" s="157"/>
      <c r="D33" s="158"/>
      <c r="E33" s="158"/>
      <c r="F33" s="159">
        <v>0</v>
      </c>
      <c r="G33" s="153">
        <v>513.1</v>
      </c>
      <c r="H33" s="153">
        <v>513.1</v>
      </c>
    </row>
    <row r="34" spans="1:8" ht="90.75" customHeight="1">
      <c r="A34" s="350"/>
      <c r="B34" s="152" t="s">
        <v>251</v>
      </c>
      <c r="C34" s="180"/>
      <c r="D34" s="180"/>
      <c r="E34" s="180"/>
      <c r="F34" s="159">
        <v>0</v>
      </c>
      <c r="G34" s="181">
        <v>300</v>
      </c>
      <c r="H34" s="181">
        <v>300</v>
      </c>
    </row>
    <row r="35" spans="1:8" ht="54.75" customHeight="1">
      <c r="A35" s="182"/>
      <c r="B35" s="148" t="s">
        <v>250</v>
      </c>
      <c r="C35" s="180"/>
      <c r="D35" s="180"/>
      <c r="E35" s="180"/>
      <c r="F35" s="158"/>
      <c r="G35" s="181"/>
      <c r="H35" s="181"/>
    </row>
    <row r="36" spans="1:8" ht="113.25" customHeight="1">
      <c r="A36" s="351" t="s">
        <v>92</v>
      </c>
      <c r="B36" s="152" t="s">
        <v>105</v>
      </c>
      <c r="C36" s="153">
        <v>240</v>
      </c>
      <c r="D36" s="183">
        <v>0</v>
      </c>
      <c r="E36" s="183">
        <v>0</v>
      </c>
      <c r="F36" s="170">
        <v>0</v>
      </c>
      <c r="G36" s="153">
        <v>240</v>
      </c>
      <c r="H36" s="153">
        <v>240</v>
      </c>
    </row>
    <row r="37" spans="1:8" ht="156.75" customHeight="1">
      <c r="A37" s="351"/>
      <c r="B37" s="152" t="s">
        <v>252</v>
      </c>
      <c r="C37" s="153">
        <v>10</v>
      </c>
      <c r="D37" s="183">
        <v>0</v>
      </c>
      <c r="E37" s="183">
        <v>0</v>
      </c>
      <c r="F37" s="170">
        <v>0</v>
      </c>
      <c r="G37" s="153">
        <v>10</v>
      </c>
      <c r="H37" s="153">
        <v>10</v>
      </c>
    </row>
    <row r="38" spans="1:8" ht="32.25" customHeight="1">
      <c r="A38" s="145"/>
      <c r="B38" s="172" t="s">
        <v>102</v>
      </c>
      <c r="C38" s="184">
        <v>250</v>
      </c>
      <c r="D38" s="183">
        <v>0</v>
      </c>
      <c r="E38" s="183">
        <v>0</v>
      </c>
      <c r="F38" s="170">
        <v>0</v>
      </c>
      <c r="G38" s="184">
        <v>250</v>
      </c>
      <c r="H38" s="184">
        <v>250</v>
      </c>
    </row>
    <row r="39" spans="1:8" ht="36.75" customHeight="1">
      <c r="A39" s="145"/>
      <c r="B39" s="148" t="s">
        <v>100</v>
      </c>
      <c r="C39" s="149">
        <f>SUM(C27+C30+C32+C38)</f>
        <v>10391.74</v>
      </c>
      <c r="D39" s="149"/>
      <c r="E39" s="149">
        <f>SUM(E27+E30+E32+E38)</f>
        <v>8612.99</v>
      </c>
      <c r="F39" s="149">
        <f>SUM(F27+F30)</f>
        <v>810</v>
      </c>
      <c r="G39" s="149">
        <f>SUM(G27+G32+G38)</f>
        <v>1313.1</v>
      </c>
      <c r="H39" s="149">
        <f>SUM(H27+H30+H32+H38)</f>
        <v>2123.1</v>
      </c>
    </row>
    <row r="40" spans="1:8" ht="11.25" customHeight="1">
      <c r="A40" s="138"/>
      <c r="B40" s="138"/>
      <c r="C40" s="138"/>
      <c r="D40" s="138"/>
      <c r="E40" s="138"/>
      <c r="F40" s="138"/>
      <c r="G40" s="138"/>
      <c r="H40" s="139"/>
    </row>
    <row r="41" spans="1:8" ht="15">
      <c r="A41" s="17"/>
      <c r="B41" s="17"/>
      <c r="C41" s="17"/>
      <c r="D41" s="17"/>
      <c r="E41" s="17"/>
      <c r="F41" s="17"/>
      <c r="G41" s="17"/>
      <c r="H41" s="17"/>
    </row>
    <row r="42" spans="1:8" ht="15">
      <c r="A42" s="17"/>
      <c r="B42" s="17"/>
      <c r="C42" s="17"/>
      <c r="D42" s="17"/>
      <c r="E42" s="17"/>
      <c r="F42" s="17"/>
      <c r="G42" s="17"/>
      <c r="H42" s="17"/>
    </row>
    <row r="43" spans="1:8" ht="15">
      <c r="A43" s="17"/>
      <c r="B43" s="17"/>
      <c r="C43" s="17"/>
      <c r="D43" s="17"/>
      <c r="E43" s="17"/>
      <c r="F43" s="17"/>
      <c r="G43" s="17"/>
      <c r="H43" s="17"/>
    </row>
    <row r="44" spans="1:8" ht="15">
      <c r="A44" s="17"/>
      <c r="B44" s="17"/>
      <c r="C44" s="17"/>
      <c r="D44" s="17"/>
      <c r="E44" s="17"/>
      <c r="F44" s="17"/>
      <c r="G44" s="17"/>
      <c r="H44" s="17"/>
    </row>
    <row r="45" spans="1:8" ht="15">
      <c r="A45" s="17"/>
      <c r="B45" s="17"/>
      <c r="C45" s="17"/>
      <c r="D45" s="17"/>
      <c r="E45" s="17"/>
      <c r="F45" s="17"/>
      <c r="G45" s="17"/>
      <c r="H45" s="17"/>
    </row>
    <row r="46" spans="1:8" ht="23.25" customHeight="1">
      <c r="A46" s="17"/>
      <c r="B46" s="146" t="s">
        <v>256</v>
      </c>
      <c r="C46" s="146"/>
      <c r="D46" s="104"/>
      <c r="E46" s="104"/>
      <c r="F46" s="104"/>
      <c r="G46" s="104"/>
      <c r="H46" s="104"/>
    </row>
    <row r="47" spans="1:8" ht="23.25">
      <c r="A47" s="17"/>
      <c r="B47" s="146" t="s">
        <v>257</v>
      </c>
      <c r="C47" s="146"/>
      <c r="D47" s="104"/>
      <c r="E47" s="104"/>
      <c r="F47" s="104"/>
      <c r="G47" s="104" t="s">
        <v>217</v>
      </c>
      <c r="H47" s="104"/>
    </row>
    <row r="48" spans="1:8" ht="23.25">
      <c r="A48" s="17"/>
      <c r="B48" s="123"/>
      <c r="C48" s="104"/>
      <c r="D48" s="104"/>
      <c r="E48" s="104"/>
      <c r="F48" s="124"/>
      <c r="G48" s="124"/>
      <c r="H48" s="124"/>
    </row>
    <row r="49" spans="6:8" ht="15">
      <c r="F49" s="17"/>
      <c r="G49" s="17"/>
      <c r="H49" s="17"/>
    </row>
    <row r="50" ht="12.75">
      <c r="B50" s="96"/>
    </row>
    <row r="51" ht="12.75">
      <c r="B51" s="96"/>
    </row>
    <row r="52" ht="15">
      <c r="C52" s="17"/>
    </row>
  </sheetData>
  <sheetProtection/>
  <mergeCells count="10">
    <mergeCell ref="A33:A34"/>
    <mergeCell ref="A36:A37"/>
    <mergeCell ref="A8:H8"/>
    <mergeCell ref="A1:B1"/>
    <mergeCell ref="A7:F7"/>
    <mergeCell ref="G3:H3"/>
    <mergeCell ref="G2:H2"/>
    <mergeCell ref="G4:H4"/>
    <mergeCell ref="B28:H28"/>
    <mergeCell ref="B12:H12"/>
  </mergeCells>
  <printOptions/>
  <pageMargins left="0.7874015748031497" right="0.1968503937007874" top="0.7874015748031497" bottom="0.7874015748031497" header="0.5118110236220472" footer="0.5118110236220472"/>
  <pageSetup fitToHeight="2" orientation="portrait" paperSize="9" scale="37" r:id="rId1"/>
  <rowBreaks count="1" manualBreakCount="1">
    <brk id="2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50" zoomScaleNormal="75" zoomScaleSheetLayoutView="50" zoomScalePageLayoutView="0" workbookViewId="0" topLeftCell="A27">
      <selection activeCell="B32" sqref="B32"/>
    </sheetView>
  </sheetViews>
  <sheetFormatPr defaultColWidth="9.00390625" defaultRowHeight="12.75"/>
  <cols>
    <col min="1" max="1" width="18.625" style="0" customWidth="1"/>
    <col min="2" max="2" width="80.75390625" style="0" customWidth="1"/>
    <col min="3" max="3" width="22.375" style="0" customWidth="1"/>
    <col min="4" max="4" width="23.125" style="0" customWidth="1"/>
    <col min="5" max="5" width="22.75390625" style="0" customWidth="1"/>
    <col min="6" max="6" width="22.875" style="0" customWidth="1"/>
    <col min="7" max="7" width="27.375" style="0" customWidth="1"/>
    <col min="8" max="13" width="33.125" style="0" customWidth="1"/>
    <col min="14" max="14" width="5.875" style="0" customWidth="1"/>
  </cols>
  <sheetData>
    <row r="1" spans="1:13" ht="25.5" customHeight="1">
      <c r="A1" s="97"/>
      <c r="B1" s="97"/>
      <c r="C1" s="17"/>
      <c r="D1" s="98"/>
      <c r="I1" s="185"/>
      <c r="J1" s="185"/>
      <c r="K1" s="185"/>
      <c r="L1" s="348" t="s">
        <v>260</v>
      </c>
      <c r="M1" s="348"/>
    </row>
    <row r="2" spans="1:13" ht="25.5" customHeight="1">
      <c r="A2" s="17"/>
      <c r="B2" s="17"/>
      <c r="C2" s="17"/>
      <c r="G2" s="354"/>
      <c r="H2" s="354"/>
      <c r="I2" s="137"/>
      <c r="J2" s="137"/>
      <c r="K2" s="137"/>
      <c r="L2" s="137" t="s">
        <v>254</v>
      </c>
      <c r="M2" s="137"/>
    </row>
    <row r="3" spans="1:13" ht="21" customHeight="1">
      <c r="A3" s="17"/>
      <c r="B3" s="17"/>
      <c r="C3" s="17"/>
      <c r="E3" s="120"/>
      <c r="I3" s="137"/>
      <c r="J3" s="137"/>
      <c r="K3" s="137"/>
      <c r="L3" s="354" t="s">
        <v>265</v>
      </c>
      <c r="M3" s="354"/>
    </row>
    <row r="4" spans="1:13" ht="21" customHeight="1">
      <c r="A4" s="17"/>
      <c r="B4" s="17"/>
      <c r="C4" s="17"/>
      <c r="E4" s="120"/>
      <c r="G4" s="137"/>
      <c r="H4" s="137"/>
      <c r="I4" s="137"/>
      <c r="J4" s="137"/>
      <c r="K4" s="137"/>
      <c r="L4" s="137"/>
      <c r="M4" s="137"/>
    </row>
    <row r="5" spans="1:13" ht="15">
      <c r="A5" s="17"/>
      <c r="B5" s="17"/>
      <c r="C5" s="17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27.75">
      <c r="A6" s="353" t="s">
        <v>108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140"/>
      <c r="M6" s="140"/>
    </row>
    <row r="7" spans="1:13" ht="33" customHeight="1">
      <c r="A7" s="352" t="s">
        <v>266</v>
      </c>
      <c r="B7" s="352"/>
      <c r="C7" s="352"/>
      <c r="D7" s="352"/>
      <c r="E7" s="352"/>
      <c r="F7" s="352"/>
      <c r="G7" s="352"/>
      <c r="H7" s="352"/>
      <c r="I7" s="352"/>
      <c r="J7" s="186"/>
      <c r="K7" s="186"/>
      <c r="L7" s="186"/>
      <c r="M7" s="186"/>
    </row>
    <row r="8" spans="1:13" ht="33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ht="24.75" customHeight="1">
      <c r="A9" s="358" t="s">
        <v>74</v>
      </c>
      <c r="B9" s="358" t="s">
        <v>239</v>
      </c>
      <c r="C9" s="358" t="s">
        <v>90</v>
      </c>
      <c r="D9" s="358" t="s">
        <v>4</v>
      </c>
      <c r="E9" s="358" t="s">
        <v>5</v>
      </c>
      <c r="F9" s="358" t="s">
        <v>93</v>
      </c>
      <c r="G9" s="358" t="s">
        <v>86</v>
      </c>
      <c r="H9" s="358" t="s">
        <v>109</v>
      </c>
      <c r="I9" s="358" t="s">
        <v>267</v>
      </c>
      <c r="J9" s="324" t="s">
        <v>261</v>
      </c>
      <c r="K9" s="324" t="s">
        <v>264</v>
      </c>
      <c r="L9" s="358" t="s">
        <v>262</v>
      </c>
      <c r="M9" s="358" t="s">
        <v>263</v>
      </c>
    </row>
    <row r="10" spans="1:13" ht="312" customHeight="1">
      <c r="A10" s="358"/>
      <c r="B10" s="358"/>
      <c r="C10" s="358"/>
      <c r="D10" s="358"/>
      <c r="E10" s="358"/>
      <c r="F10" s="358"/>
      <c r="G10" s="358"/>
      <c r="H10" s="358"/>
      <c r="I10" s="358"/>
      <c r="J10" s="325"/>
      <c r="K10" s="325"/>
      <c r="L10" s="358"/>
      <c r="M10" s="358"/>
    </row>
    <row r="11" spans="1:13" ht="25.5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4">
        <v>6</v>
      </c>
      <c r="G11" s="143">
        <v>7</v>
      </c>
      <c r="H11" s="143">
        <v>8</v>
      </c>
      <c r="I11" s="143">
        <v>9</v>
      </c>
      <c r="J11" s="143">
        <v>10</v>
      </c>
      <c r="K11" s="143">
        <v>11</v>
      </c>
      <c r="L11" s="143">
        <v>12</v>
      </c>
      <c r="M11" s="143">
        <v>13</v>
      </c>
    </row>
    <row r="12" spans="1:13" ht="60.75" customHeight="1">
      <c r="A12" s="147"/>
      <c r="B12" s="148" t="s">
        <v>88</v>
      </c>
      <c r="C12" s="149"/>
      <c r="D12" s="150"/>
      <c r="E12" s="150"/>
      <c r="F12" s="151"/>
      <c r="G12" s="149"/>
      <c r="H12" s="149"/>
      <c r="I12" s="149"/>
      <c r="J12" s="149"/>
      <c r="K12" s="149"/>
      <c r="L12" s="149"/>
      <c r="M12" s="149"/>
    </row>
    <row r="13" spans="1:13" ht="133.5" customHeight="1">
      <c r="A13" s="147"/>
      <c r="B13" s="188" t="s">
        <v>238</v>
      </c>
      <c r="C13" s="151">
        <f>SUM(C14+C15+C16+C17+C18+C19+C20)</f>
        <v>159490.699</v>
      </c>
      <c r="D13" s="151"/>
      <c r="E13" s="151">
        <f>SUM(E14:E20)</f>
        <v>158004.599</v>
      </c>
      <c r="F13" s="151">
        <f>F14+F15+F16+F17+F18+F19+F20</f>
        <v>1573.1</v>
      </c>
      <c r="G13" s="151">
        <f>G15+G16+G17+G18+G19+G20</f>
        <v>34.6</v>
      </c>
      <c r="H13" s="149">
        <f>H14+H15+H16+H17+H18+H19+H20</f>
        <v>1607.6999999999998</v>
      </c>
      <c r="I13" s="149">
        <v>513.1</v>
      </c>
      <c r="J13" s="149">
        <v>0</v>
      </c>
      <c r="K13" s="149">
        <v>0</v>
      </c>
      <c r="L13" s="193">
        <f>L14+L15+L16+L17+L18+L19+L20</f>
        <v>914.61328</v>
      </c>
      <c r="M13" s="193">
        <f>M14+M15+M16+M17+M18+M19+M20</f>
        <v>179.98672</v>
      </c>
    </row>
    <row r="14" spans="1:13" ht="55.5" customHeight="1">
      <c r="A14" s="143" t="s">
        <v>235</v>
      </c>
      <c r="B14" s="152" t="s">
        <v>96</v>
      </c>
      <c r="C14" s="153">
        <v>1807.799</v>
      </c>
      <c r="D14" s="153">
        <v>12.2</v>
      </c>
      <c r="E14" s="153">
        <v>1586.799</v>
      </c>
      <c r="F14" s="154">
        <v>160</v>
      </c>
      <c r="G14" s="153">
        <v>0</v>
      </c>
      <c r="H14" s="153">
        <v>160</v>
      </c>
      <c r="I14" s="153">
        <v>0</v>
      </c>
      <c r="J14" s="153">
        <v>0</v>
      </c>
      <c r="K14" s="153">
        <v>0</v>
      </c>
      <c r="L14" s="153">
        <v>160</v>
      </c>
      <c r="M14" s="153">
        <v>0</v>
      </c>
    </row>
    <row r="15" spans="1:13" ht="90" customHeight="1">
      <c r="A15" s="143" t="s">
        <v>235</v>
      </c>
      <c r="B15" s="152" t="s">
        <v>97</v>
      </c>
      <c r="C15" s="153">
        <v>800</v>
      </c>
      <c r="D15" s="153">
        <v>12.5</v>
      </c>
      <c r="E15" s="153">
        <v>700</v>
      </c>
      <c r="F15" s="154">
        <v>100</v>
      </c>
      <c r="G15" s="153">
        <v>-100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</row>
    <row r="16" spans="1:13" ht="66" customHeight="1">
      <c r="A16" s="143" t="s">
        <v>235</v>
      </c>
      <c r="B16" s="152" t="s">
        <v>98</v>
      </c>
      <c r="C16" s="153">
        <v>302.4</v>
      </c>
      <c r="D16" s="153">
        <v>0.8</v>
      </c>
      <c r="E16" s="153">
        <v>300</v>
      </c>
      <c r="F16" s="154">
        <v>50</v>
      </c>
      <c r="G16" s="153">
        <v>-13</v>
      </c>
      <c r="H16" s="153">
        <v>37</v>
      </c>
      <c r="I16" s="153">
        <v>0</v>
      </c>
      <c r="J16" s="153">
        <v>0</v>
      </c>
      <c r="K16" s="153">
        <v>0</v>
      </c>
      <c r="L16" s="153">
        <v>37</v>
      </c>
      <c r="M16" s="153">
        <v>0</v>
      </c>
    </row>
    <row r="17" spans="1:13" ht="171" customHeight="1">
      <c r="A17" s="155" t="s">
        <v>79</v>
      </c>
      <c r="B17" s="156" t="s">
        <v>259</v>
      </c>
      <c r="C17" s="157">
        <v>500</v>
      </c>
      <c r="D17" s="158">
        <v>0</v>
      </c>
      <c r="E17" s="158">
        <v>500</v>
      </c>
      <c r="F17" s="159">
        <v>200</v>
      </c>
      <c r="G17" s="153">
        <v>-200</v>
      </c>
      <c r="H17" s="158">
        <v>0</v>
      </c>
      <c r="I17" s="153">
        <v>0</v>
      </c>
      <c r="J17" s="153">
        <v>0</v>
      </c>
      <c r="K17" s="153">
        <v>0</v>
      </c>
      <c r="L17" s="158">
        <v>0</v>
      </c>
      <c r="M17" s="158">
        <v>0</v>
      </c>
    </row>
    <row r="18" spans="1:13" ht="90.75" customHeight="1">
      <c r="A18" s="143" t="s">
        <v>94</v>
      </c>
      <c r="B18" s="152" t="s">
        <v>249</v>
      </c>
      <c r="C18" s="158">
        <v>150000</v>
      </c>
      <c r="D18" s="158">
        <v>0</v>
      </c>
      <c r="E18" s="158">
        <v>149950</v>
      </c>
      <c r="F18" s="159">
        <v>50</v>
      </c>
      <c r="G18" s="153">
        <v>0</v>
      </c>
      <c r="H18" s="158">
        <v>50</v>
      </c>
      <c r="I18" s="153">
        <v>0</v>
      </c>
      <c r="J18" s="153">
        <v>0</v>
      </c>
      <c r="K18" s="153">
        <v>0</v>
      </c>
      <c r="L18" s="158">
        <v>50</v>
      </c>
      <c r="M18" s="158">
        <v>0</v>
      </c>
    </row>
    <row r="19" spans="1:13" ht="72" customHeight="1">
      <c r="A19" s="145" t="s">
        <v>268</v>
      </c>
      <c r="B19" s="152" t="s">
        <v>269</v>
      </c>
      <c r="C19" s="157">
        <v>3555.9</v>
      </c>
      <c r="D19" s="158"/>
      <c r="E19" s="158">
        <v>2742.8</v>
      </c>
      <c r="F19" s="159">
        <v>813.1</v>
      </c>
      <c r="G19" s="158">
        <v>323</v>
      </c>
      <c r="H19" s="158">
        <v>1136.1</v>
      </c>
      <c r="I19" s="158">
        <v>513.1</v>
      </c>
      <c r="J19" s="158">
        <v>0</v>
      </c>
      <c r="K19" s="158">
        <v>0</v>
      </c>
      <c r="L19" s="189">
        <v>443.01328</v>
      </c>
      <c r="M19" s="189">
        <v>179.98672</v>
      </c>
    </row>
    <row r="20" spans="1:13" ht="42.75" customHeight="1">
      <c r="A20" s="161"/>
      <c r="B20" s="152" t="s">
        <v>99</v>
      </c>
      <c r="C20" s="157">
        <f>C21+C22+C23+C25+C24</f>
        <v>2524.6</v>
      </c>
      <c r="D20" s="158"/>
      <c r="E20" s="158">
        <f>E21+E22+E23+E25</f>
        <v>2225</v>
      </c>
      <c r="F20" s="159">
        <v>200</v>
      </c>
      <c r="G20" s="153">
        <v>24.6</v>
      </c>
      <c r="H20" s="158">
        <v>224.6</v>
      </c>
      <c r="I20" s="158">
        <v>0</v>
      </c>
      <c r="J20" s="158">
        <v>0</v>
      </c>
      <c r="K20" s="158">
        <v>0</v>
      </c>
      <c r="L20" s="158">
        <v>224.6</v>
      </c>
      <c r="M20" s="158">
        <v>0</v>
      </c>
    </row>
    <row r="21" spans="1:13" ht="80.25" customHeight="1">
      <c r="A21" s="161"/>
      <c r="B21" s="162" t="s">
        <v>82</v>
      </c>
      <c r="C21" s="157">
        <v>1500</v>
      </c>
      <c r="D21" s="158">
        <v>0</v>
      </c>
      <c r="E21" s="158">
        <v>1500</v>
      </c>
      <c r="F21" s="159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8">
        <v>0</v>
      </c>
      <c r="M21" s="158">
        <v>0</v>
      </c>
    </row>
    <row r="22" spans="1:13" ht="84.75" customHeight="1">
      <c r="A22" s="161"/>
      <c r="B22" s="162" t="s">
        <v>85</v>
      </c>
      <c r="C22" s="157">
        <v>200</v>
      </c>
      <c r="D22" s="158">
        <v>0</v>
      </c>
      <c r="E22" s="158">
        <v>200</v>
      </c>
      <c r="F22" s="159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8">
        <v>0</v>
      </c>
      <c r="M22" s="158">
        <v>0</v>
      </c>
    </row>
    <row r="23" spans="1:13" ht="86.25" customHeight="1">
      <c r="A23" s="143" t="s">
        <v>94</v>
      </c>
      <c r="B23" s="163" t="s">
        <v>83</v>
      </c>
      <c r="C23" s="157">
        <v>400</v>
      </c>
      <c r="D23" s="158">
        <v>18.8</v>
      </c>
      <c r="E23" s="158">
        <v>325</v>
      </c>
      <c r="F23" s="159">
        <v>20</v>
      </c>
      <c r="G23" s="153">
        <v>-20</v>
      </c>
      <c r="H23" s="158">
        <v>0</v>
      </c>
      <c r="I23" s="153">
        <v>0</v>
      </c>
      <c r="J23" s="153">
        <v>0</v>
      </c>
      <c r="K23" s="153">
        <v>0</v>
      </c>
      <c r="L23" s="158">
        <v>0</v>
      </c>
      <c r="M23" s="158">
        <v>0</v>
      </c>
    </row>
    <row r="24" spans="1:13" ht="62.25" customHeight="1">
      <c r="A24" s="143" t="s">
        <v>94</v>
      </c>
      <c r="B24" s="163" t="s">
        <v>258</v>
      </c>
      <c r="C24" s="157">
        <v>224.6</v>
      </c>
      <c r="D24" s="158">
        <v>0</v>
      </c>
      <c r="E24" s="158">
        <v>0</v>
      </c>
      <c r="F24" s="159">
        <v>180</v>
      </c>
      <c r="G24" s="153">
        <v>44.6</v>
      </c>
      <c r="H24" s="158">
        <v>224.6</v>
      </c>
      <c r="I24" s="153">
        <v>0</v>
      </c>
      <c r="J24" s="153">
        <v>0</v>
      </c>
      <c r="K24" s="153">
        <v>0</v>
      </c>
      <c r="L24" s="158">
        <v>224.6</v>
      </c>
      <c r="M24" s="158">
        <v>0</v>
      </c>
    </row>
    <row r="25" spans="1:13" ht="92.25" customHeight="1">
      <c r="A25" s="161"/>
      <c r="B25" s="162" t="s">
        <v>84</v>
      </c>
      <c r="C25" s="157">
        <v>200</v>
      </c>
      <c r="D25" s="158">
        <v>0</v>
      </c>
      <c r="E25" s="158">
        <v>200</v>
      </c>
      <c r="F25" s="159">
        <v>0</v>
      </c>
      <c r="G25" s="153">
        <v>0</v>
      </c>
      <c r="H25" s="158">
        <v>0</v>
      </c>
      <c r="I25" s="153">
        <v>0</v>
      </c>
      <c r="J25" s="153">
        <v>0</v>
      </c>
      <c r="K25" s="153">
        <v>0</v>
      </c>
      <c r="L25" s="158">
        <v>0</v>
      </c>
      <c r="M25" s="158">
        <v>0</v>
      </c>
    </row>
    <row r="26" spans="1:13" ht="96.75" customHeight="1">
      <c r="A26" s="161"/>
      <c r="B26" s="188" t="s">
        <v>237</v>
      </c>
      <c r="C26" s="165">
        <v>1523.44</v>
      </c>
      <c r="D26" s="165"/>
      <c r="E26" s="165">
        <v>1456.04</v>
      </c>
      <c r="F26" s="166">
        <v>100</v>
      </c>
      <c r="G26" s="153">
        <v>0</v>
      </c>
      <c r="H26" s="167">
        <v>100</v>
      </c>
      <c r="I26" s="153">
        <v>0</v>
      </c>
      <c r="J26" s="153">
        <v>0</v>
      </c>
      <c r="K26" s="153">
        <v>0</v>
      </c>
      <c r="L26" s="167">
        <v>100</v>
      </c>
      <c r="M26" s="167">
        <v>0</v>
      </c>
    </row>
    <row r="27" spans="1:13" ht="94.5" customHeight="1">
      <c r="A27" s="168" t="s">
        <v>235</v>
      </c>
      <c r="B27" s="169" t="s">
        <v>95</v>
      </c>
      <c r="C27" s="170">
        <v>1523.44</v>
      </c>
      <c r="D27" s="170">
        <v>4.4</v>
      </c>
      <c r="E27" s="170">
        <v>1456.04</v>
      </c>
      <c r="F27" s="171">
        <v>100</v>
      </c>
      <c r="G27" s="153">
        <v>0</v>
      </c>
      <c r="H27" s="170">
        <v>100</v>
      </c>
      <c r="I27" s="153">
        <v>0</v>
      </c>
      <c r="J27" s="153">
        <v>0</v>
      </c>
      <c r="K27" s="153">
        <v>0</v>
      </c>
      <c r="L27" s="158">
        <v>100</v>
      </c>
      <c r="M27" s="158">
        <v>0</v>
      </c>
    </row>
    <row r="28" spans="1:13" ht="44.25" customHeight="1">
      <c r="A28" s="147"/>
      <c r="B28" s="194" t="s">
        <v>273</v>
      </c>
      <c r="C28" s="173">
        <f>C13+C26</f>
        <v>161014.139</v>
      </c>
      <c r="D28" s="173"/>
      <c r="E28" s="173">
        <f>E13+E26</f>
        <v>159460.639</v>
      </c>
      <c r="F28" s="173">
        <f>F13+F26</f>
        <v>1673.1</v>
      </c>
      <c r="G28" s="151">
        <v>34.6</v>
      </c>
      <c r="H28" s="173">
        <f>H13+H26</f>
        <v>1707.6999999999998</v>
      </c>
      <c r="I28" s="173">
        <v>513.1</v>
      </c>
      <c r="J28" s="173">
        <v>0</v>
      </c>
      <c r="K28" s="173">
        <v>0</v>
      </c>
      <c r="L28" s="190">
        <f>L26+L13</f>
        <v>1014.61328</v>
      </c>
      <c r="M28" s="190">
        <f>M26+M13</f>
        <v>179.98672</v>
      </c>
    </row>
    <row r="29" spans="1:13" ht="72.75" customHeight="1">
      <c r="A29" s="182"/>
      <c r="B29" s="148" t="s">
        <v>250</v>
      </c>
      <c r="C29" s="180"/>
      <c r="D29" s="180"/>
      <c r="E29" s="180"/>
      <c r="F29" s="158"/>
      <c r="G29" s="181"/>
      <c r="H29" s="181"/>
      <c r="I29" s="181"/>
      <c r="J29" s="181"/>
      <c r="K29" s="181"/>
      <c r="L29" s="181"/>
      <c r="M29" s="181"/>
    </row>
    <row r="30" spans="1:13" ht="190.5" customHeight="1">
      <c r="A30" s="145" t="s">
        <v>271</v>
      </c>
      <c r="B30" s="188" t="s">
        <v>270</v>
      </c>
      <c r="C30" s="173">
        <v>253.3</v>
      </c>
      <c r="D30" s="187"/>
      <c r="E30" s="187"/>
      <c r="F30" s="165">
        <v>250</v>
      </c>
      <c r="G30" s="173">
        <v>0</v>
      </c>
      <c r="H30" s="173">
        <v>250</v>
      </c>
      <c r="I30" s="173">
        <v>0</v>
      </c>
      <c r="J30" s="173">
        <v>0</v>
      </c>
      <c r="K30" s="173">
        <v>38</v>
      </c>
      <c r="L30" s="190">
        <v>91.8262</v>
      </c>
      <c r="M30" s="190">
        <v>120.1738</v>
      </c>
    </row>
    <row r="31" spans="1:13" ht="74.25" customHeight="1">
      <c r="A31" s="168"/>
      <c r="B31" s="174" t="s">
        <v>89</v>
      </c>
      <c r="C31" s="175"/>
      <c r="D31" s="167"/>
      <c r="E31" s="167"/>
      <c r="F31" s="176"/>
      <c r="G31" s="177"/>
      <c r="H31" s="167"/>
      <c r="I31" s="167"/>
      <c r="J31" s="167"/>
      <c r="K31" s="167"/>
      <c r="L31" s="167"/>
      <c r="M31" s="167"/>
    </row>
    <row r="32" spans="1:13" ht="393.75" customHeight="1">
      <c r="A32" s="161" t="s">
        <v>87</v>
      </c>
      <c r="B32" s="178" t="s">
        <v>272</v>
      </c>
      <c r="C32" s="191">
        <v>197.34156</v>
      </c>
      <c r="D32" s="167"/>
      <c r="E32" s="167">
        <v>0</v>
      </c>
      <c r="F32" s="176">
        <v>200</v>
      </c>
      <c r="G32" s="192">
        <v>-2.65844</v>
      </c>
      <c r="H32" s="191">
        <v>197.34156</v>
      </c>
      <c r="I32" s="167">
        <v>0</v>
      </c>
      <c r="J32" s="191">
        <v>197.34156</v>
      </c>
      <c r="K32" s="167">
        <v>0</v>
      </c>
      <c r="L32" s="167">
        <v>0</v>
      </c>
      <c r="M32" s="167">
        <v>0</v>
      </c>
    </row>
    <row r="33" spans="1:13" ht="36.75" customHeight="1">
      <c r="A33" s="145"/>
      <c r="B33" s="148" t="s">
        <v>100</v>
      </c>
      <c r="C33" s="149">
        <f>C28+C30+C32</f>
        <v>161464.78055999998</v>
      </c>
      <c r="D33" s="149"/>
      <c r="E33" s="149">
        <f>E28+E30+E32</f>
        <v>159460.639</v>
      </c>
      <c r="F33" s="149">
        <f>F32+F30+F28</f>
        <v>2123.1</v>
      </c>
      <c r="G33" s="193">
        <f>G28+G32</f>
        <v>31.941560000000003</v>
      </c>
      <c r="H33" s="193">
        <f>H28+H30+H32</f>
        <v>2155.0415599999997</v>
      </c>
      <c r="I33" s="149">
        <v>513.1</v>
      </c>
      <c r="J33" s="191">
        <v>197.34156</v>
      </c>
      <c r="K33" s="149">
        <v>38</v>
      </c>
      <c r="L33" s="193">
        <f>L28+L30</f>
        <v>1106.43948</v>
      </c>
      <c r="M33" s="193">
        <f>M28+M30</f>
        <v>300.16052</v>
      </c>
    </row>
    <row r="34" spans="1:13" ht="11.25" customHeight="1">
      <c r="A34" s="138"/>
      <c r="B34" s="138"/>
      <c r="C34" s="138"/>
      <c r="D34" s="138"/>
      <c r="E34" s="138"/>
      <c r="F34" s="138"/>
      <c r="G34" s="138"/>
      <c r="H34" s="139"/>
      <c r="I34" s="139"/>
      <c r="J34" s="139"/>
      <c r="K34" s="139"/>
      <c r="L34" s="139"/>
      <c r="M34" s="139"/>
    </row>
    <row r="35" spans="1:13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23.25" customHeight="1">
      <c r="A40" s="17"/>
      <c r="B40" s="146" t="s">
        <v>256</v>
      </c>
      <c r="C40" s="146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23.25">
      <c r="A41" s="17"/>
      <c r="B41" s="146" t="s">
        <v>257</v>
      </c>
      <c r="C41" s="146"/>
      <c r="D41" s="104"/>
      <c r="E41" s="104"/>
      <c r="F41" s="104"/>
      <c r="G41" s="104" t="s">
        <v>217</v>
      </c>
      <c r="H41" s="104"/>
      <c r="I41" s="104"/>
      <c r="J41" s="104"/>
      <c r="K41" s="104"/>
      <c r="L41" s="104"/>
      <c r="M41" s="104"/>
    </row>
    <row r="42" spans="1:13" ht="23.25">
      <c r="A42" s="17"/>
      <c r="B42" s="123"/>
      <c r="C42" s="104"/>
      <c r="D42" s="104"/>
      <c r="E42" s="104"/>
      <c r="F42" s="124"/>
      <c r="G42" s="124"/>
      <c r="H42" s="124"/>
      <c r="I42" s="124"/>
      <c r="J42" s="124"/>
      <c r="K42" s="124"/>
      <c r="L42" s="124"/>
      <c r="M42" s="124"/>
    </row>
    <row r="43" spans="6:13" ht="15">
      <c r="F43" s="17"/>
      <c r="G43" s="17"/>
      <c r="H43" s="17"/>
      <c r="I43" s="17"/>
      <c r="J43" s="17"/>
      <c r="K43" s="17"/>
      <c r="L43" s="17"/>
      <c r="M43" s="17"/>
    </row>
    <row r="44" ht="12.75">
      <c r="B44" s="96"/>
    </row>
    <row r="45" ht="12.75">
      <c r="B45" s="96"/>
    </row>
    <row r="46" ht="15">
      <c r="C46" s="17"/>
    </row>
  </sheetData>
  <sheetProtection/>
  <mergeCells count="18">
    <mergeCell ref="B9:B10"/>
    <mergeCell ref="J9:J10"/>
    <mergeCell ref="G9:G10"/>
    <mergeCell ref="F9:F10"/>
    <mergeCell ref="K9:K10"/>
    <mergeCell ref="E9:E10"/>
    <mergeCell ref="D9:D10"/>
    <mergeCell ref="H9:H10"/>
    <mergeCell ref="G2:H2"/>
    <mergeCell ref="L1:M1"/>
    <mergeCell ref="L3:M3"/>
    <mergeCell ref="I9:I10"/>
    <mergeCell ref="L9:L10"/>
    <mergeCell ref="M9:M10"/>
    <mergeCell ref="A6:K6"/>
    <mergeCell ref="A7:I7"/>
    <mergeCell ref="A9:A10"/>
    <mergeCell ref="C9:C10"/>
  </mergeCells>
  <printOptions/>
  <pageMargins left="0.7874015748031497" right="0.1968503937007874" top="0.7874015748031497" bottom="0.7874015748031497" header="0.5118110236220472" footer="0.5118110236220472"/>
  <pageSetup fitToHeight="0" fitToWidth="1"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50" zoomScaleNormal="50" zoomScaleSheetLayoutView="50" zoomScalePageLayoutView="0" workbookViewId="0" topLeftCell="A11">
      <selection activeCell="C27" sqref="C27"/>
    </sheetView>
  </sheetViews>
  <sheetFormatPr defaultColWidth="9.00390625" defaultRowHeight="12.75"/>
  <cols>
    <col min="1" max="1" width="39.375" style="0" customWidth="1"/>
    <col min="2" max="2" width="65.875" style="0" customWidth="1"/>
    <col min="3" max="3" width="107.75390625" style="0" customWidth="1"/>
    <col min="4" max="4" width="29.00390625" style="0" customWidth="1"/>
    <col min="5" max="5" width="32.00390625" style="0" customWidth="1"/>
    <col min="6" max="8" width="28.375" style="0" customWidth="1"/>
    <col min="9" max="9" width="27.875" style="0" customWidth="1"/>
    <col min="10" max="10" width="0.74609375" style="0" hidden="1" customWidth="1"/>
    <col min="11" max="11" width="33.875" style="0" hidden="1" customWidth="1"/>
    <col min="12" max="12" width="0.2421875" style="0" hidden="1" customWidth="1"/>
    <col min="13" max="13" width="15.375" style="0" customWidth="1"/>
  </cols>
  <sheetData>
    <row r="1" spans="1:9" ht="15.75" customHeight="1">
      <c r="A1" s="344"/>
      <c r="B1" s="344"/>
      <c r="C1" s="344"/>
      <c r="D1" s="17"/>
      <c r="I1" s="95"/>
    </row>
    <row r="2" spans="1:12" ht="25.5" customHeight="1">
      <c r="A2" s="97"/>
      <c r="B2" s="97"/>
      <c r="C2" s="97"/>
      <c r="D2" s="17"/>
      <c r="E2" s="98"/>
      <c r="J2" s="95" t="s">
        <v>274</v>
      </c>
      <c r="L2" s="185"/>
    </row>
    <row r="3" spans="1:12" ht="25.5" customHeight="1">
      <c r="A3" s="17"/>
      <c r="B3" s="17"/>
      <c r="C3" s="17"/>
      <c r="D3" s="17"/>
      <c r="F3" s="95"/>
      <c r="G3" s="95"/>
      <c r="H3" s="95"/>
      <c r="J3" s="95" t="s">
        <v>110</v>
      </c>
      <c r="L3" s="137"/>
    </row>
    <row r="4" spans="1:12" ht="21" customHeight="1">
      <c r="A4" s="17"/>
      <c r="B4" s="17"/>
      <c r="C4" s="17"/>
      <c r="D4" s="17"/>
      <c r="F4" s="95"/>
      <c r="G4" s="95"/>
      <c r="H4" s="95"/>
      <c r="I4" s="120"/>
      <c r="J4" s="95" t="s">
        <v>275</v>
      </c>
      <c r="L4" s="137"/>
    </row>
    <row r="5" spans="1:12" ht="21" customHeight="1">
      <c r="A5" s="17"/>
      <c r="B5" s="17"/>
      <c r="C5" s="17"/>
      <c r="D5" s="17"/>
      <c r="F5" s="120"/>
      <c r="G5" s="120"/>
      <c r="H5" s="120"/>
      <c r="I5" s="120"/>
      <c r="J5" s="120"/>
      <c r="L5" s="137"/>
    </row>
    <row r="6" spans="1:12" ht="21" customHeight="1" hidden="1">
      <c r="A6" s="17"/>
      <c r="B6" s="17"/>
      <c r="C6" s="17"/>
      <c r="D6" s="17"/>
      <c r="F6" s="120"/>
      <c r="G6" s="120"/>
      <c r="H6" s="120"/>
      <c r="I6" s="120"/>
      <c r="J6" s="120"/>
      <c r="L6" s="137"/>
    </row>
    <row r="7" spans="1:12" ht="21" customHeight="1" hidden="1">
      <c r="A7" s="17"/>
      <c r="B7" s="17"/>
      <c r="C7" s="17"/>
      <c r="D7" s="17"/>
      <c r="F7" s="120"/>
      <c r="G7" s="120"/>
      <c r="H7" s="120"/>
      <c r="I7" s="120"/>
      <c r="J7" s="120"/>
      <c r="K7" s="201"/>
      <c r="L7" s="137"/>
    </row>
    <row r="8" spans="1:12" ht="21" customHeight="1" hidden="1">
      <c r="A8" s="17"/>
      <c r="B8" s="17"/>
      <c r="C8" s="17"/>
      <c r="D8" s="17"/>
      <c r="F8" s="120"/>
      <c r="G8" s="120"/>
      <c r="H8" s="120"/>
      <c r="I8" s="120"/>
      <c r="J8" s="120"/>
      <c r="K8" s="201"/>
      <c r="L8" s="137"/>
    </row>
    <row r="9" spans="1:12" ht="21" customHeight="1" hidden="1">
      <c r="A9" s="17"/>
      <c r="B9" s="17"/>
      <c r="C9" s="17"/>
      <c r="D9" s="17"/>
      <c r="F9" s="120"/>
      <c r="G9" s="120"/>
      <c r="H9" s="120"/>
      <c r="I9" s="120"/>
      <c r="J9" s="120"/>
      <c r="K9" s="201"/>
      <c r="L9" s="137"/>
    </row>
    <row r="10" spans="1:12" ht="15" hidden="1">
      <c r="A10" s="17"/>
      <c r="B10" s="17"/>
      <c r="C10" s="17"/>
      <c r="D10" s="17"/>
      <c r="E10" s="20"/>
      <c r="F10" s="20"/>
      <c r="G10" s="20"/>
      <c r="H10" s="20"/>
      <c r="I10" s="20"/>
      <c r="J10" s="20"/>
      <c r="K10" s="20"/>
      <c r="L10" s="20"/>
    </row>
    <row r="11" spans="1:12" ht="33.75">
      <c r="A11" s="330" t="s">
        <v>287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219"/>
    </row>
    <row r="12" spans="1:12" ht="33" customHeight="1">
      <c r="A12" s="329" t="s">
        <v>111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</row>
    <row r="13" spans="1:12" ht="23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29" t="s">
        <v>215</v>
      </c>
      <c r="L13" s="129"/>
    </row>
    <row r="14" spans="1:12" ht="116.25" customHeight="1">
      <c r="A14" s="204" t="s">
        <v>276</v>
      </c>
      <c r="B14" s="204" t="s">
        <v>278</v>
      </c>
      <c r="C14" s="326" t="s">
        <v>280</v>
      </c>
      <c r="D14" s="326" t="s">
        <v>281</v>
      </c>
      <c r="E14" s="326" t="s">
        <v>282</v>
      </c>
      <c r="F14" s="326" t="s">
        <v>283</v>
      </c>
      <c r="G14" s="326" t="s">
        <v>284</v>
      </c>
      <c r="H14" s="331" t="s">
        <v>294</v>
      </c>
      <c r="I14" s="326" t="s">
        <v>293</v>
      </c>
      <c r="J14" s="104"/>
      <c r="K14" s="129"/>
      <c r="L14" s="129"/>
    </row>
    <row r="15" spans="1:12" ht="195" customHeight="1">
      <c r="A15" s="205" t="s">
        <v>277</v>
      </c>
      <c r="B15" s="205" t="s">
        <v>279</v>
      </c>
      <c r="C15" s="326"/>
      <c r="D15" s="326"/>
      <c r="E15" s="326"/>
      <c r="F15" s="326"/>
      <c r="G15" s="326"/>
      <c r="H15" s="332"/>
      <c r="I15" s="326"/>
      <c r="J15" s="203" t="s">
        <v>113</v>
      </c>
      <c r="K15" s="195" t="s">
        <v>112</v>
      </c>
      <c r="L15" s="142" t="s">
        <v>86</v>
      </c>
    </row>
    <row r="16" spans="1:12" ht="37.5" customHeight="1">
      <c r="A16" s="196">
        <v>1</v>
      </c>
      <c r="B16" s="196"/>
      <c r="C16" s="196">
        <v>2</v>
      </c>
      <c r="D16" s="196">
        <v>3</v>
      </c>
      <c r="E16" s="196">
        <v>4</v>
      </c>
      <c r="F16" s="196">
        <v>5</v>
      </c>
      <c r="G16" s="196">
        <v>6</v>
      </c>
      <c r="H16" s="196">
        <v>7</v>
      </c>
      <c r="I16" s="196">
        <v>8</v>
      </c>
      <c r="J16" s="196">
        <v>7</v>
      </c>
      <c r="K16" s="196">
        <v>8</v>
      </c>
      <c r="L16" s="143">
        <v>7</v>
      </c>
    </row>
    <row r="17" spans="1:12" ht="98.25" customHeight="1">
      <c r="A17" s="217">
        <v>191</v>
      </c>
      <c r="B17" s="218" t="s">
        <v>88</v>
      </c>
      <c r="D17" s="149"/>
      <c r="E17" s="150"/>
      <c r="F17" s="150"/>
      <c r="G17" s="150"/>
      <c r="H17" s="150"/>
      <c r="I17" s="150"/>
      <c r="J17" s="150"/>
      <c r="K17" s="149"/>
      <c r="L17" s="149"/>
    </row>
    <row r="18" spans="1:12" ht="150.75" customHeight="1">
      <c r="A18" s="206" t="s">
        <v>114</v>
      </c>
      <c r="B18" s="207" t="s">
        <v>285</v>
      </c>
      <c r="C18" s="208" t="s">
        <v>122</v>
      </c>
      <c r="D18" s="209">
        <v>1807.8</v>
      </c>
      <c r="E18" s="209">
        <v>21.6</v>
      </c>
      <c r="F18" s="209">
        <v>1417.9</v>
      </c>
      <c r="G18" s="209">
        <v>34.7</v>
      </c>
      <c r="H18" s="209">
        <v>100</v>
      </c>
      <c r="I18" s="209">
        <v>134.7</v>
      </c>
      <c r="J18" s="199">
        <v>35</v>
      </c>
      <c r="K18" s="199">
        <f>I18+J18</f>
        <v>169.7</v>
      </c>
      <c r="L18" s="153">
        <v>0</v>
      </c>
    </row>
    <row r="19" spans="1:12" ht="151.5" customHeight="1">
      <c r="A19" s="206" t="s">
        <v>114</v>
      </c>
      <c r="B19" s="207" t="s">
        <v>285</v>
      </c>
      <c r="C19" s="210" t="s">
        <v>288</v>
      </c>
      <c r="D19" s="209"/>
      <c r="E19" s="209"/>
      <c r="F19" s="209"/>
      <c r="G19" s="209">
        <v>0</v>
      </c>
      <c r="H19" s="209">
        <v>100</v>
      </c>
      <c r="I19" s="209">
        <v>100</v>
      </c>
      <c r="J19" s="199"/>
      <c r="K19" s="199"/>
      <c r="L19" s="153"/>
    </row>
    <row r="20" spans="1:12" ht="159" customHeight="1">
      <c r="A20" s="206"/>
      <c r="B20" s="207"/>
      <c r="C20" s="210" t="s">
        <v>116</v>
      </c>
      <c r="D20" s="209">
        <v>290</v>
      </c>
      <c r="E20" s="209">
        <v>25.8</v>
      </c>
      <c r="F20" s="209">
        <v>215.2</v>
      </c>
      <c r="G20" s="209">
        <v>0</v>
      </c>
      <c r="H20" s="209">
        <v>30</v>
      </c>
      <c r="I20" s="209">
        <v>30</v>
      </c>
      <c r="J20" s="199"/>
      <c r="K20" s="199"/>
      <c r="L20" s="153"/>
    </row>
    <row r="21" spans="1:12" ht="114" customHeight="1">
      <c r="A21" s="206" t="s">
        <v>114</v>
      </c>
      <c r="B21" s="207" t="s">
        <v>285</v>
      </c>
      <c r="C21" s="211" t="s">
        <v>117</v>
      </c>
      <c r="D21" s="209"/>
      <c r="E21" s="209"/>
      <c r="F21" s="209"/>
      <c r="G21" s="209">
        <v>0</v>
      </c>
      <c r="H21" s="209">
        <v>20</v>
      </c>
      <c r="I21" s="209">
        <v>20</v>
      </c>
      <c r="J21" s="199"/>
      <c r="K21" s="199"/>
      <c r="L21" s="153"/>
    </row>
    <row r="22" spans="1:12" ht="109.5" customHeight="1">
      <c r="A22" s="206" t="s">
        <v>114</v>
      </c>
      <c r="B22" s="207" t="s">
        <v>285</v>
      </c>
      <c r="C22" s="211" t="s">
        <v>118</v>
      </c>
      <c r="D22" s="209"/>
      <c r="E22" s="209"/>
      <c r="F22" s="209"/>
      <c r="G22" s="209">
        <v>0</v>
      </c>
      <c r="H22" s="209">
        <v>100</v>
      </c>
      <c r="I22" s="209">
        <v>100</v>
      </c>
      <c r="J22" s="199"/>
      <c r="K22" s="199"/>
      <c r="L22" s="153"/>
    </row>
    <row r="23" spans="1:12" ht="108" customHeight="1">
      <c r="A23" s="206" t="s">
        <v>114</v>
      </c>
      <c r="B23" s="207" t="s">
        <v>285</v>
      </c>
      <c r="C23" s="208" t="s">
        <v>289</v>
      </c>
      <c r="D23" s="220">
        <v>1456.038</v>
      </c>
      <c r="E23" s="209">
        <v>18.7</v>
      </c>
      <c r="F23" s="209">
        <v>1184</v>
      </c>
      <c r="G23" s="209">
        <v>0</v>
      </c>
      <c r="H23" s="209">
        <v>59.8</v>
      </c>
      <c r="I23" s="209">
        <v>59.8</v>
      </c>
      <c r="J23" s="199"/>
      <c r="K23" s="199"/>
      <c r="L23" s="153"/>
    </row>
    <row r="24" spans="1:12" ht="108" customHeight="1">
      <c r="A24" s="206" t="s">
        <v>114</v>
      </c>
      <c r="B24" s="207" t="s">
        <v>285</v>
      </c>
      <c r="C24" s="208" t="s">
        <v>120</v>
      </c>
      <c r="D24" s="209"/>
      <c r="E24" s="209"/>
      <c r="F24" s="209"/>
      <c r="G24" s="209">
        <v>0</v>
      </c>
      <c r="H24" s="209">
        <v>5</v>
      </c>
      <c r="I24" s="209">
        <v>5</v>
      </c>
      <c r="J24" s="199"/>
      <c r="K24" s="199"/>
      <c r="L24" s="153"/>
    </row>
    <row r="25" spans="1:12" ht="271.5" customHeight="1">
      <c r="A25" s="206" t="s">
        <v>115</v>
      </c>
      <c r="B25" s="211" t="s">
        <v>286</v>
      </c>
      <c r="C25" s="210" t="s">
        <v>292</v>
      </c>
      <c r="D25" s="209">
        <v>3457.5</v>
      </c>
      <c r="E25" s="209">
        <v>100</v>
      </c>
      <c r="F25" s="209">
        <v>0</v>
      </c>
      <c r="G25" s="209">
        <v>6.9</v>
      </c>
      <c r="H25" s="209">
        <v>0</v>
      </c>
      <c r="I25" s="209">
        <v>6.88522</v>
      </c>
      <c r="J25" s="199">
        <v>0</v>
      </c>
      <c r="K25" s="199">
        <f>250-7</f>
        <v>243</v>
      </c>
      <c r="L25" s="153">
        <v>0</v>
      </c>
    </row>
    <row r="26" spans="1:12" ht="222" customHeight="1">
      <c r="A26" s="206" t="s">
        <v>115</v>
      </c>
      <c r="B26" s="211" t="s">
        <v>286</v>
      </c>
      <c r="C26" s="210" t="s">
        <v>121</v>
      </c>
      <c r="D26" s="209"/>
      <c r="E26" s="209"/>
      <c r="F26" s="209"/>
      <c r="G26" s="209">
        <v>0</v>
      </c>
      <c r="H26" s="209">
        <v>20</v>
      </c>
      <c r="I26" s="209">
        <v>20</v>
      </c>
      <c r="J26" s="199"/>
      <c r="K26" s="199"/>
      <c r="L26" s="153"/>
    </row>
    <row r="27" spans="1:12" ht="202.5" customHeight="1">
      <c r="A27" s="206" t="s">
        <v>291</v>
      </c>
      <c r="B27" s="212" t="s">
        <v>290</v>
      </c>
      <c r="C27" s="208" t="s">
        <v>119</v>
      </c>
      <c r="D27" s="209"/>
      <c r="E27" s="209"/>
      <c r="F27" s="209"/>
      <c r="G27" s="209">
        <v>0</v>
      </c>
      <c r="H27" s="209">
        <v>5</v>
      </c>
      <c r="I27" s="209">
        <v>5</v>
      </c>
      <c r="J27" s="199"/>
      <c r="K27" s="199"/>
      <c r="L27" s="153"/>
    </row>
    <row r="28" spans="1:12" ht="57" customHeight="1">
      <c r="A28" s="197"/>
      <c r="B28" s="197"/>
      <c r="C28" s="213" t="s">
        <v>273</v>
      </c>
      <c r="D28" s="214">
        <f>D18+D25</f>
        <v>5265.3</v>
      </c>
      <c r="E28" s="215"/>
      <c r="F28" s="214">
        <f>F18+F19+F21+F22+F23+F24+F24+F25+F26+F27</f>
        <v>2601.9</v>
      </c>
      <c r="G28" s="214">
        <f>G18+G19+G20+G21+G22+G23+G24+G25+G26+G27</f>
        <v>41.6</v>
      </c>
      <c r="H28" s="214">
        <f>H18+H19+H20+H21+H22+H23+H24+H25+H26+H27</f>
        <v>439.8</v>
      </c>
      <c r="I28" s="214">
        <f>I18+I19+I21+I22+I23+I24+I25+I26+I27+I20</f>
        <v>481.38522</v>
      </c>
      <c r="J28" s="200" t="e">
        <f>#REF!+#REF!+#REF!</f>
        <v>#REF!</v>
      </c>
      <c r="K28" s="200" t="e">
        <f>#REF!+#REF!+#REF!</f>
        <v>#REF!</v>
      </c>
      <c r="L28" s="153"/>
    </row>
    <row r="29" spans="1:12" ht="11.2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1:12" ht="33" customHeight="1">
      <c r="A30" s="327"/>
      <c r="B30" s="327"/>
      <c r="C30" s="327"/>
      <c r="D30" s="327"/>
      <c r="E30" s="327"/>
      <c r="F30" s="327"/>
      <c r="G30" s="327"/>
      <c r="H30" s="327"/>
      <c r="I30" s="327"/>
      <c r="J30" s="17"/>
      <c r="K30" s="17"/>
      <c r="L30" s="17"/>
    </row>
    <row r="31" spans="1:12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23.25" customHeight="1">
      <c r="A33" s="328"/>
      <c r="B33" s="328"/>
      <c r="C33" s="328"/>
      <c r="D33" s="328"/>
      <c r="E33" s="328"/>
      <c r="F33" s="198"/>
      <c r="G33" s="198"/>
      <c r="H33" s="198"/>
      <c r="I33" s="198"/>
      <c r="J33" s="198"/>
      <c r="K33" s="198"/>
      <c r="L33" s="104"/>
    </row>
    <row r="34" spans="1:12" ht="33">
      <c r="A34" s="328"/>
      <c r="B34" s="328"/>
      <c r="C34" s="328"/>
      <c r="D34" s="328"/>
      <c r="E34" s="328"/>
      <c r="F34" s="198"/>
      <c r="G34" s="198"/>
      <c r="H34" s="198"/>
      <c r="I34" s="216"/>
      <c r="J34" s="198"/>
      <c r="K34" s="202" t="s">
        <v>217</v>
      </c>
      <c r="L34" s="104" t="s">
        <v>217</v>
      </c>
    </row>
    <row r="35" spans="1:12" ht="23.25">
      <c r="A35" s="17"/>
      <c r="B35" s="17"/>
      <c r="C35" s="123"/>
      <c r="D35" s="104"/>
      <c r="E35" s="104"/>
      <c r="F35" s="104"/>
      <c r="G35" s="104"/>
      <c r="H35" s="104"/>
      <c r="I35" s="104"/>
      <c r="J35" s="104"/>
      <c r="K35" s="124"/>
      <c r="L35" s="124"/>
    </row>
    <row r="36" spans="11:12" ht="15">
      <c r="K36" s="17"/>
      <c r="L36" s="17"/>
    </row>
    <row r="37" ht="12.75">
      <c r="C37" s="96"/>
    </row>
    <row r="38" ht="12.75">
      <c r="C38" s="96"/>
    </row>
    <row r="39" ht="15">
      <c r="D39" s="17"/>
    </row>
  </sheetData>
  <sheetProtection/>
  <mergeCells count="13">
    <mergeCell ref="A1:C1"/>
    <mergeCell ref="A11:K11"/>
    <mergeCell ref="A33:E33"/>
    <mergeCell ref="C14:C15"/>
    <mergeCell ref="D14:D15"/>
    <mergeCell ref="E14:E15"/>
    <mergeCell ref="F14:F15"/>
    <mergeCell ref="G14:G15"/>
    <mergeCell ref="H14:H15"/>
    <mergeCell ref="I14:I15"/>
    <mergeCell ref="A30:I30"/>
    <mergeCell ref="A34:E34"/>
    <mergeCell ref="A12:L12"/>
  </mergeCells>
  <printOptions/>
  <pageMargins left="0.7874015748031497" right="0.1968503937007874" top="0.7874015748031497" bottom="0.64" header="0.5118110236220472" footer="0.5118110236220472"/>
  <pageSetup fitToHeight="0" fitToWidth="1" horizontalDpi="600" verticalDpi="600" orientation="portrait" paperSize="9" scale="24" r:id="rId1"/>
  <colBreaks count="1" manualBreakCount="1">
    <brk id="9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="40" zoomScaleNormal="50" zoomScaleSheetLayoutView="40" zoomScalePageLayoutView="0" workbookViewId="0" topLeftCell="A10">
      <pane ySplit="6" topLeftCell="BM118" activePane="bottomLeft" state="frozen"/>
      <selection pane="topLeft" activeCell="A10" sqref="A10"/>
      <selection pane="bottomLeft" activeCell="G14" sqref="G14:G15"/>
    </sheetView>
  </sheetViews>
  <sheetFormatPr defaultColWidth="9.00390625" defaultRowHeight="12.75"/>
  <cols>
    <col min="1" max="1" width="34.00390625" style="248" customWidth="1"/>
    <col min="2" max="2" width="81.00390625" style="248" customWidth="1"/>
    <col min="3" max="3" width="122.00390625" style="248" customWidth="1"/>
    <col min="4" max="4" width="42.125" style="248" customWidth="1"/>
    <col min="5" max="5" width="42.00390625" style="248" customWidth="1"/>
    <col min="6" max="6" width="38.75390625" style="248" customWidth="1"/>
    <col min="7" max="7" width="36.125" style="248" customWidth="1"/>
    <col min="8" max="8" width="19.625" style="248" customWidth="1"/>
    <col min="9" max="16384" width="9.125" style="248" customWidth="1"/>
  </cols>
  <sheetData>
    <row r="1" spans="1:7" s="243" customFormat="1" ht="50.25" customHeight="1">
      <c r="A1" s="363"/>
      <c r="B1" s="363"/>
      <c r="C1" s="363"/>
      <c r="D1" s="333" t="s">
        <v>355</v>
      </c>
      <c r="E1" s="333"/>
      <c r="F1" s="333"/>
      <c r="G1" s="333"/>
    </row>
    <row r="2" spans="4:8" s="243" customFormat="1" ht="39" customHeight="1">
      <c r="D2" s="360" t="s">
        <v>130</v>
      </c>
      <c r="E2" s="360"/>
      <c r="F2" s="360"/>
      <c r="G2" s="360"/>
      <c r="H2" s="242"/>
    </row>
    <row r="3" spans="4:8" s="243" customFormat="1" ht="37.5" customHeight="1">
      <c r="D3" s="360" t="s">
        <v>323</v>
      </c>
      <c r="E3" s="360"/>
      <c r="F3" s="360"/>
      <c r="G3" s="360"/>
      <c r="H3" s="242"/>
    </row>
    <row r="4" spans="6:8" s="243" customFormat="1" ht="25.5" customHeight="1">
      <c r="F4" s="244"/>
      <c r="G4" s="244"/>
      <c r="H4" s="242"/>
    </row>
    <row r="5" spans="6:8" s="243" customFormat="1" ht="21" customHeight="1" hidden="1">
      <c r="F5" s="244"/>
      <c r="G5" s="244"/>
      <c r="H5" s="242"/>
    </row>
    <row r="6" spans="6:8" s="243" customFormat="1" ht="21" customHeight="1" hidden="1">
      <c r="F6" s="244"/>
      <c r="G6" s="244"/>
      <c r="H6" s="242"/>
    </row>
    <row r="7" spans="6:8" s="243" customFormat="1" ht="21" customHeight="1" hidden="1">
      <c r="F7" s="244"/>
      <c r="G7" s="244"/>
      <c r="H7" s="242"/>
    </row>
    <row r="8" spans="6:8" s="243" customFormat="1" ht="21" customHeight="1" hidden="1">
      <c r="F8" s="244"/>
      <c r="G8" s="244"/>
      <c r="H8" s="242"/>
    </row>
    <row r="9" spans="5:8" s="243" customFormat="1" ht="45.75" hidden="1">
      <c r="E9" s="242"/>
      <c r="F9" s="242"/>
      <c r="G9" s="242"/>
      <c r="H9" s="242"/>
    </row>
    <row r="10" spans="1:8" s="243" customFormat="1" ht="45.75">
      <c r="A10" s="333" t="s">
        <v>322</v>
      </c>
      <c r="B10" s="333"/>
      <c r="C10" s="333"/>
      <c r="D10" s="333"/>
      <c r="E10" s="333"/>
      <c r="F10" s="333"/>
      <c r="G10" s="333"/>
      <c r="H10" s="245"/>
    </row>
    <row r="11" spans="1:8" s="243" customFormat="1" ht="40.5" customHeight="1">
      <c r="A11" s="362" t="s">
        <v>111</v>
      </c>
      <c r="B11" s="362"/>
      <c r="C11" s="362"/>
      <c r="D11" s="362"/>
      <c r="E11" s="362"/>
      <c r="F11" s="362"/>
      <c r="G11" s="362"/>
      <c r="H11" s="246"/>
    </row>
    <row r="12" spans="1:8" ht="33" customHeight="1">
      <c r="A12" s="247"/>
      <c r="B12" s="247"/>
      <c r="C12" s="247"/>
      <c r="D12" s="247"/>
      <c r="E12" s="247"/>
      <c r="F12" s="247"/>
      <c r="G12" s="247"/>
      <c r="H12" s="247"/>
    </row>
    <row r="13" spans="7:8" ht="34.5">
      <c r="G13" s="248" t="s">
        <v>215</v>
      </c>
      <c r="H13" s="249"/>
    </row>
    <row r="14" spans="1:8" ht="116.25" customHeight="1">
      <c r="A14" s="250" t="s">
        <v>320</v>
      </c>
      <c r="B14" s="250" t="s">
        <v>321</v>
      </c>
      <c r="C14" s="359" t="s">
        <v>124</v>
      </c>
      <c r="D14" s="359" t="s">
        <v>281</v>
      </c>
      <c r="E14" s="359" t="s">
        <v>282</v>
      </c>
      <c r="F14" s="359" t="s">
        <v>283</v>
      </c>
      <c r="G14" s="359" t="s">
        <v>123</v>
      </c>
      <c r="H14" s="249"/>
    </row>
    <row r="15" spans="1:8" ht="256.5" customHeight="1">
      <c r="A15" s="251" t="s">
        <v>277</v>
      </c>
      <c r="B15" s="251" t="s">
        <v>279</v>
      </c>
      <c r="C15" s="359"/>
      <c r="D15" s="359"/>
      <c r="E15" s="359"/>
      <c r="F15" s="359"/>
      <c r="G15" s="359"/>
      <c r="H15" s="252"/>
    </row>
    <row r="16" spans="1:8" ht="37.5" customHeight="1">
      <c r="A16" s="253">
        <v>1</v>
      </c>
      <c r="B16" s="253">
        <v>2</v>
      </c>
      <c r="C16" s="253">
        <v>3</v>
      </c>
      <c r="D16" s="253">
        <v>4</v>
      </c>
      <c r="E16" s="253">
        <v>5</v>
      </c>
      <c r="F16" s="253">
        <v>6</v>
      </c>
      <c r="G16" s="253">
        <v>7</v>
      </c>
      <c r="H16" s="254"/>
    </row>
    <row r="17" spans="1:8" ht="70.5" customHeight="1">
      <c r="A17" s="222" t="s">
        <v>299</v>
      </c>
      <c r="B17" s="223" t="s">
        <v>129</v>
      </c>
      <c r="C17" s="224"/>
      <c r="D17" s="230">
        <f>D18+D21</f>
        <v>1488.4009999999998</v>
      </c>
      <c r="E17" s="225"/>
      <c r="F17" s="225"/>
      <c r="G17" s="230">
        <f>G18+G21</f>
        <v>1378.1149999999998</v>
      </c>
      <c r="H17" s="255"/>
    </row>
    <row r="18" spans="1:8" ht="81" customHeight="1">
      <c r="A18" s="240" t="s">
        <v>301</v>
      </c>
      <c r="B18" s="241" t="s">
        <v>302</v>
      </c>
      <c r="C18" s="221" t="s">
        <v>297</v>
      </c>
      <c r="D18" s="239">
        <f>D19+D20</f>
        <v>603.401</v>
      </c>
      <c r="E18" s="237"/>
      <c r="F18" s="237"/>
      <c r="G18" s="239">
        <f>G19+G20</f>
        <v>603.401</v>
      </c>
      <c r="H18" s="255"/>
    </row>
    <row r="19" spans="1:8" ht="149.25" customHeight="1">
      <c r="A19" s="240"/>
      <c r="B19" s="241"/>
      <c r="C19" s="221" t="s">
        <v>171</v>
      </c>
      <c r="D19" s="239">
        <v>118.401</v>
      </c>
      <c r="E19" s="237"/>
      <c r="F19" s="237"/>
      <c r="G19" s="239">
        <v>118.401</v>
      </c>
      <c r="H19" s="255"/>
    </row>
    <row r="20" spans="1:8" ht="153" customHeight="1">
      <c r="A20" s="240"/>
      <c r="B20" s="241"/>
      <c r="C20" s="221" t="s">
        <v>344</v>
      </c>
      <c r="D20" s="239">
        <f>G20</f>
        <v>485</v>
      </c>
      <c r="E20" s="237"/>
      <c r="F20" s="237"/>
      <c r="G20" s="239">
        <f>460+25</f>
        <v>485</v>
      </c>
      <c r="H20" s="255"/>
    </row>
    <row r="21" spans="1:8" ht="54.75" customHeight="1">
      <c r="A21" s="273">
        <v>150101</v>
      </c>
      <c r="B21" s="274" t="s">
        <v>285</v>
      </c>
      <c r="C21" s="276" t="s">
        <v>297</v>
      </c>
      <c r="D21" s="275">
        <f>D22+D23</f>
        <v>885</v>
      </c>
      <c r="E21" s="275"/>
      <c r="F21" s="275"/>
      <c r="G21" s="278">
        <f>G22+G23</f>
        <v>774.7139999999999</v>
      </c>
      <c r="H21" s="255"/>
    </row>
    <row r="22" spans="1:8" ht="162" customHeight="1">
      <c r="A22" s="273"/>
      <c r="B22" s="274"/>
      <c r="C22" s="208" t="s">
        <v>179</v>
      </c>
      <c r="D22" s="225">
        <v>565</v>
      </c>
      <c r="E22" s="275">
        <v>7</v>
      </c>
      <c r="F22" s="275">
        <v>525</v>
      </c>
      <c r="G22" s="278">
        <f>453.5+68.214-50-17</f>
        <v>454.71399999999994</v>
      </c>
      <c r="H22" s="255"/>
    </row>
    <row r="23" spans="1:8" ht="198.75" customHeight="1">
      <c r="A23" s="273"/>
      <c r="B23" s="274"/>
      <c r="C23" s="276" t="s">
        <v>169</v>
      </c>
      <c r="D23" s="275">
        <f>G23</f>
        <v>320</v>
      </c>
      <c r="E23" s="275"/>
      <c r="F23" s="275"/>
      <c r="G23" s="275">
        <f>330-10</f>
        <v>320</v>
      </c>
      <c r="H23" s="255"/>
    </row>
    <row r="24" spans="1:8" ht="75.75" customHeight="1">
      <c r="A24" s="222" t="s">
        <v>304</v>
      </c>
      <c r="B24" s="223" t="s">
        <v>303</v>
      </c>
      <c r="C24" s="229"/>
      <c r="D24" s="287">
        <f>D25+D26+D30+D34+D35+D36+D37</f>
        <v>1898.6341499999999</v>
      </c>
      <c r="E24" s="287"/>
      <c r="F24" s="287"/>
      <c r="G24" s="287">
        <f>G25+G26+G30+G34+G35+G36+G37</f>
        <v>1898.6341499999999</v>
      </c>
      <c r="H24" s="255"/>
    </row>
    <row r="25" spans="1:8" ht="100.5" customHeight="1">
      <c r="A25" s="240" t="s">
        <v>301</v>
      </c>
      <c r="B25" s="241" t="s">
        <v>302</v>
      </c>
      <c r="C25" s="208" t="s">
        <v>173</v>
      </c>
      <c r="D25" s="239">
        <f>G25</f>
        <v>13.19</v>
      </c>
      <c r="E25" s="237"/>
      <c r="F25" s="237"/>
      <c r="G25" s="239">
        <v>13.19</v>
      </c>
      <c r="H25" s="255"/>
    </row>
    <row r="26" spans="1:8" ht="100.5" customHeight="1">
      <c r="A26" s="288" t="s">
        <v>135</v>
      </c>
      <c r="B26" s="289" t="s">
        <v>136</v>
      </c>
      <c r="C26" s="290" t="s">
        <v>297</v>
      </c>
      <c r="D26" s="293">
        <f>1189.366+D27+D28+D29-55.87601-38.7-43.3</f>
        <v>1155.8944800000002</v>
      </c>
      <c r="E26" s="292"/>
      <c r="F26" s="292"/>
      <c r="G26" s="293">
        <f>D26</f>
        <v>1155.8944800000002</v>
      </c>
      <c r="H26" s="255"/>
    </row>
    <row r="27" spans="1:8" ht="84" customHeight="1">
      <c r="A27" s="240"/>
      <c r="B27" s="241"/>
      <c r="C27" s="208" t="s">
        <v>333</v>
      </c>
      <c r="D27" s="286">
        <f>G27</f>
        <v>66.01349</v>
      </c>
      <c r="E27" s="239"/>
      <c r="F27" s="239"/>
      <c r="G27" s="286">
        <v>66.01349</v>
      </c>
      <c r="H27" s="255"/>
    </row>
    <row r="28" spans="1:8" ht="57" customHeight="1" hidden="1">
      <c r="A28" s="240"/>
      <c r="B28" s="241"/>
      <c r="C28" s="208"/>
      <c r="D28" s="239"/>
      <c r="E28" s="239"/>
      <c r="F28" s="239"/>
      <c r="G28" s="239"/>
      <c r="H28" s="255"/>
    </row>
    <row r="29" spans="1:8" ht="152.25" customHeight="1">
      <c r="A29" s="240"/>
      <c r="B29" s="241"/>
      <c r="C29" s="208" t="s">
        <v>353</v>
      </c>
      <c r="D29" s="239">
        <f>G29</f>
        <v>38.391</v>
      </c>
      <c r="E29" s="239"/>
      <c r="F29" s="239"/>
      <c r="G29" s="239">
        <v>38.391</v>
      </c>
      <c r="H29" s="255"/>
    </row>
    <row r="30" spans="1:8" ht="141.75" customHeight="1">
      <c r="A30" s="288" t="s">
        <v>134</v>
      </c>
      <c r="B30" s="289" t="s">
        <v>137</v>
      </c>
      <c r="C30" s="290" t="s">
        <v>297</v>
      </c>
      <c r="D30" s="293">
        <f>D31+264+55.02+5.4+7.5+4.995+D32+50+D33-17.9-3.5</f>
        <v>693.80067</v>
      </c>
      <c r="E30" s="291"/>
      <c r="F30" s="291"/>
      <c r="G30" s="293">
        <f>D30</f>
        <v>693.80067</v>
      </c>
      <c r="H30" s="255"/>
    </row>
    <row r="31" spans="1:8" ht="73.5" customHeight="1">
      <c r="A31" s="240"/>
      <c r="B31" s="241"/>
      <c r="C31" s="208" t="s">
        <v>334</v>
      </c>
      <c r="D31" s="286">
        <f>G31</f>
        <v>318.28567</v>
      </c>
      <c r="E31" s="239"/>
      <c r="F31" s="239"/>
      <c r="G31" s="286">
        <v>318.28567</v>
      </c>
      <c r="H31" s="255"/>
    </row>
    <row r="32" spans="1:8" ht="195.75" customHeight="1">
      <c r="A32" s="240"/>
      <c r="B32" s="241"/>
      <c r="C32" s="208" t="s">
        <v>354</v>
      </c>
      <c r="D32" s="307">
        <v>10</v>
      </c>
      <c r="E32" s="239"/>
      <c r="F32" s="239"/>
      <c r="G32" s="239">
        <v>10</v>
      </c>
      <c r="H32" s="255"/>
    </row>
    <row r="33" spans="1:8" ht="77.25" customHeight="1" hidden="1">
      <c r="A33" s="240"/>
      <c r="B33" s="241"/>
      <c r="C33" s="208"/>
      <c r="D33" s="307"/>
      <c r="E33" s="239"/>
      <c r="F33" s="239"/>
      <c r="G33" s="239"/>
      <c r="H33" s="255"/>
    </row>
    <row r="34" spans="1:8" ht="74.25" customHeight="1">
      <c r="A34" s="240" t="s">
        <v>174</v>
      </c>
      <c r="B34" s="241" t="s">
        <v>175</v>
      </c>
      <c r="C34" s="208" t="s">
        <v>334</v>
      </c>
      <c r="D34" s="239">
        <f>G34</f>
        <v>9.98</v>
      </c>
      <c r="E34" s="239"/>
      <c r="F34" s="239"/>
      <c r="G34" s="239">
        <v>9.98</v>
      </c>
      <c r="H34" s="255"/>
    </row>
    <row r="35" spans="1:8" ht="105.75" customHeight="1">
      <c r="A35" s="240" t="s">
        <v>176</v>
      </c>
      <c r="B35" s="241" t="s">
        <v>177</v>
      </c>
      <c r="C35" s="208" t="s">
        <v>334</v>
      </c>
      <c r="D35" s="239">
        <f>G35</f>
        <v>7.04</v>
      </c>
      <c r="E35" s="239"/>
      <c r="F35" s="239"/>
      <c r="G35" s="239">
        <v>7.04</v>
      </c>
      <c r="H35" s="255"/>
    </row>
    <row r="36" spans="1:8" ht="75.75" customHeight="1">
      <c r="A36" s="240" t="s">
        <v>305</v>
      </c>
      <c r="B36" s="241" t="s">
        <v>178</v>
      </c>
      <c r="C36" s="208" t="s">
        <v>334</v>
      </c>
      <c r="D36" s="239">
        <f>G36</f>
        <v>13.34</v>
      </c>
      <c r="E36" s="239"/>
      <c r="F36" s="239"/>
      <c r="G36" s="239">
        <v>13.34</v>
      </c>
      <c r="H36" s="255"/>
    </row>
    <row r="37" spans="1:8" ht="155.25" customHeight="1">
      <c r="A37" s="240" t="s">
        <v>348</v>
      </c>
      <c r="B37" s="241" t="s">
        <v>349</v>
      </c>
      <c r="C37" s="208" t="s">
        <v>345</v>
      </c>
      <c r="D37" s="239">
        <v>5.389</v>
      </c>
      <c r="E37" s="239"/>
      <c r="F37" s="239"/>
      <c r="G37" s="239">
        <f>D37</f>
        <v>5.389</v>
      </c>
      <c r="H37" s="255"/>
    </row>
    <row r="38" spans="1:8" ht="111.75" customHeight="1">
      <c r="A38" s="222" t="s">
        <v>329</v>
      </c>
      <c r="B38" s="223" t="s">
        <v>330</v>
      </c>
      <c r="C38" s="229"/>
      <c r="D38" s="287">
        <f>D39</f>
        <v>286.81549</v>
      </c>
      <c r="E38" s="230"/>
      <c r="F38" s="230"/>
      <c r="G38" s="287">
        <f>G39</f>
        <v>133.32148999999998</v>
      </c>
      <c r="H38" s="255"/>
    </row>
    <row r="39" spans="1:8" ht="80.25" customHeight="1">
      <c r="A39" s="240" t="s">
        <v>331</v>
      </c>
      <c r="B39" s="241" t="s">
        <v>332</v>
      </c>
      <c r="C39" s="319" t="s">
        <v>297</v>
      </c>
      <c r="D39" s="320">
        <f>D40+D41</f>
        <v>286.81549</v>
      </c>
      <c r="E39" s="239"/>
      <c r="F39" s="239">
        <f>F40+F41</f>
        <v>153.494</v>
      </c>
      <c r="G39" s="286">
        <f>G40+G41</f>
        <v>133.32148999999998</v>
      </c>
      <c r="H39" s="255"/>
    </row>
    <row r="40" spans="1:8" ht="49.5" customHeight="1">
      <c r="A40" s="240"/>
      <c r="B40" s="241"/>
      <c r="C40" s="208" t="s">
        <v>363</v>
      </c>
      <c r="D40" s="286">
        <f>G40</f>
        <v>63.32149</v>
      </c>
      <c r="E40" s="239"/>
      <c r="F40" s="239"/>
      <c r="G40" s="286">
        <v>63.32149</v>
      </c>
      <c r="H40" s="255"/>
    </row>
    <row r="41" spans="1:8" ht="80.25" customHeight="1">
      <c r="A41" s="240"/>
      <c r="B41" s="241"/>
      <c r="C41" s="208" t="s">
        <v>364</v>
      </c>
      <c r="D41" s="239">
        <v>223.494</v>
      </c>
      <c r="E41" s="239"/>
      <c r="F41" s="239">
        <f>D41-G41</f>
        <v>153.494</v>
      </c>
      <c r="G41" s="286">
        <v>70</v>
      </c>
      <c r="H41" s="255"/>
    </row>
    <row r="42" spans="1:8" ht="130.5" customHeight="1">
      <c r="A42" s="222" t="s">
        <v>319</v>
      </c>
      <c r="B42" s="271" t="s">
        <v>318</v>
      </c>
      <c r="C42" s="231"/>
      <c r="D42" s="236">
        <f>D45+D44+D43</f>
        <v>438.96340000000004</v>
      </c>
      <c r="E42" s="226"/>
      <c r="F42" s="226"/>
      <c r="G42" s="236">
        <f>D42</f>
        <v>438.96340000000004</v>
      </c>
      <c r="H42" s="255"/>
    </row>
    <row r="43" spans="1:8" ht="73.5" customHeight="1">
      <c r="A43" s="240" t="s">
        <v>301</v>
      </c>
      <c r="B43" s="241" t="s">
        <v>302</v>
      </c>
      <c r="C43" s="257" t="s">
        <v>201</v>
      </c>
      <c r="D43" s="309">
        <f>G43</f>
        <v>3</v>
      </c>
      <c r="E43" s="258"/>
      <c r="F43" s="258"/>
      <c r="G43" s="309">
        <v>3</v>
      </c>
      <c r="H43" s="255"/>
    </row>
    <row r="44" spans="1:8" ht="111.75" customHeight="1">
      <c r="A44" s="240" t="s">
        <v>195</v>
      </c>
      <c r="B44" s="272" t="s">
        <v>196</v>
      </c>
      <c r="C44" s="257" t="s">
        <v>197</v>
      </c>
      <c r="D44" s="258">
        <f aca="true" t="shared" si="0" ref="D44:D52">G44</f>
        <v>9.3974</v>
      </c>
      <c r="E44" s="258"/>
      <c r="F44" s="258"/>
      <c r="G44" s="309">
        <v>9.3974</v>
      </c>
      <c r="H44" s="255"/>
    </row>
    <row r="45" spans="1:8" ht="183.75" customHeight="1">
      <c r="A45" s="240" t="s">
        <v>183</v>
      </c>
      <c r="B45" s="272" t="s">
        <v>184</v>
      </c>
      <c r="C45" s="319" t="s">
        <v>297</v>
      </c>
      <c r="D45" s="298">
        <f>G45</f>
        <v>426.56600000000003</v>
      </c>
      <c r="E45" s="296"/>
      <c r="F45" s="296"/>
      <c r="G45" s="298">
        <f>SUM(G46:G52)</f>
        <v>426.56600000000003</v>
      </c>
      <c r="H45" s="255"/>
    </row>
    <row r="46" spans="1:8" ht="58.5" customHeight="1">
      <c r="A46" s="240"/>
      <c r="B46" s="272"/>
      <c r="C46" s="257" t="s">
        <v>149</v>
      </c>
      <c r="D46" s="258">
        <f t="shared" si="0"/>
        <v>250</v>
      </c>
      <c r="E46" s="258"/>
      <c r="F46" s="258"/>
      <c r="G46" s="258">
        <v>250</v>
      </c>
      <c r="H46" s="255"/>
    </row>
    <row r="47" spans="1:8" ht="86.25" customHeight="1" hidden="1">
      <c r="A47" s="240"/>
      <c r="B47" s="272"/>
      <c r="C47" s="257" t="s">
        <v>346</v>
      </c>
      <c r="D47" s="258">
        <f t="shared" si="0"/>
        <v>0</v>
      </c>
      <c r="E47" s="258"/>
      <c r="F47" s="258"/>
      <c r="G47" s="258">
        <f>2.5-2.5</f>
        <v>0</v>
      </c>
      <c r="H47" s="255"/>
    </row>
    <row r="48" spans="1:8" ht="1.5" customHeight="1" hidden="1">
      <c r="A48" s="240"/>
      <c r="B48" s="272"/>
      <c r="C48" s="257" t="s">
        <v>350</v>
      </c>
      <c r="D48" s="258"/>
      <c r="E48" s="258"/>
      <c r="F48" s="258"/>
      <c r="G48" s="258"/>
      <c r="H48" s="255"/>
    </row>
    <row r="49" spans="1:8" ht="86.25" customHeight="1">
      <c r="A49" s="240"/>
      <c r="B49" s="272"/>
      <c r="C49" s="257" t="s">
        <v>366</v>
      </c>
      <c r="D49" s="258">
        <f t="shared" si="0"/>
        <v>143.3</v>
      </c>
      <c r="E49" s="258"/>
      <c r="F49" s="258"/>
      <c r="G49" s="258">
        <f>60+83.3</f>
        <v>143.3</v>
      </c>
      <c r="H49" s="255"/>
    </row>
    <row r="50" spans="1:8" ht="86.25" customHeight="1">
      <c r="A50" s="240"/>
      <c r="B50" s="272"/>
      <c r="C50" s="257" t="s">
        <v>198</v>
      </c>
      <c r="D50" s="258">
        <f t="shared" si="0"/>
        <v>5.166</v>
      </c>
      <c r="E50" s="258"/>
      <c r="F50" s="258"/>
      <c r="G50" s="258">
        <v>5.166</v>
      </c>
      <c r="H50" s="255"/>
    </row>
    <row r="51" spans="1:8" ht="86.25" customHeight="1">
      <c r="A51" s="240"/>
      <c r="B51" s="272"/>
      <c r="C51" s="257" t="s">
        <v>347</v>
      </c>
      <c r="D51" s="258">
        <f t="shared" si="0"/>
        <v>19</v>
      </c>
      <c r="E51" s="258"/>
      <c r="F51" s="258"/>
      <c r="G51" s="258">
        <v>19</v>
      </c>
      <c r="H51" s="255"/>
    </row>
    <row r="52" spans="1:8" ht="86.25" customHeight="1">
      <c r="A52" s="240"/>
      <c r="B52" s="272"/>
      <c r="C52" s="257" t="s">
        <v>356</v>
      </c>
      <c r="D52" s="258">
        <f t="shared" si="0"/>
        <v>9.1</v>
      </c>
      <c r="E52" s="258"/>
      <c r="F52" s="258"/>
      <c r="G52" s="258">
        <f>18-8.9</f>
        <v>9.1</v>
      </c>
      <c r="H52" s="255"/>
    </row>
    <row r="53" spans="1:8" s="228" customFormat="1" ht="113.25" customHeight="1">
      <c r="A53" s="222" t="s">
        <v>307</v>
      </c>
      <c r="B53" s="231" t="s">
        <v>306</v>
      </c>
      <c r="C53" s="229"/>
      <c r="D53" s="226">
        <f>G53</f>
        <v>307.789</v>
      </c>
      <c r="E53" s="225"/>
      <c r="F53" s="225"/>
      <c r="G53" s="230">
        <f>G54+G55+G58+G61+G62+G63</f>
        <v>307.789</v>
      </c>
      <c r="H53" s="227"/>
    </row>
    <row r="54" spans="1:8" s="228" customFormat="1" ht="79.5" customHeight="1">
      <c r="A54" s="240" t="s">
        <v>301</v>
      </c>
      <c r="B54" s="241" t="s">
        <v>302</v>
      </c>
      <c r="C54" s="303" t="s">
        <v>351</v>
      </c>
      <c r="D54" s="304">
        <f>G54</f>
        <v>2.3</v>
      </c>
      <c r="E54" s="305"/>
      <c r="F54" s="305"/>
      <c r="G54" s="306">
        <v>2.3</v>
      </c>
      <c r="H54" s="227"/>
    </row>
    <row r="55" spans="1:8" s="228" customFormat="1" ht="66" customHeight="1">
      <c r="A55" s="240" t="s">
        <v>138</v>
      </c>
      <c r="B55" s="241" t="s">
        <v>141</v>
      </c>
      <c r="C55" s="311" t="s">
        <v>337</v>
      </c>
      <c r="D55" s="321">
        <f>G55</f>
        <v>34.7</v>
      </c>
      <c r="E55" s="322"/>
      <c r="F55" s="322"/>
      <c r="G55" s="323">
        <f>SUM(G56:G57)</f>
        <v>34.7</v>
      </c>
      <c r="H55" s="227"/>
    </row>
    <row r="56" spans="1:8" ht="79.5" customHeight="1">
      <c r="A56" s="296"/>
      <c r="B56" s="296"/>
      <c r="C56" s="208" t="s">
        <v>341</v>
      </c>
      <c r="D56" s="258">
        <f aca="true" t="shared" si="1" ref="D56:D61">G56</f>
        <v>30</v>
      </c>
      <c r="E56" s="237"/>
      <c r="F56" s="237"/>
      <c r="G56" s="239">
        <f>20+10</f>
        <v>30</v>
      </c>
      <c r="H56" s="255"/>
    </row>
    <row r="57" spans="1:8" ht="69.75" customHeight="1">
      <c r="A57" s="240"/>
      <c r="B57" s="241"/>
      <c r="C57" s="208" t="s">
        <v>338</v>
      </c>
      <c r="D57" s="258">
        <f t="shared" si="1"/>
        <v>4.7</v>
      </c>
      <c r="E57" s="237"/>
      <c r="F57" s="237"/>
      <c r="G57" s="239">
        <v>4.7</v>
      </c>
      <c r="H57" s="255"/>
    </row>
    <row r="58" spans="1:8" ht="69.75" customHeight="1">
      <c r="A58" s="240" t="s">
        <v>139</v>
      </c>
      <c r="B58" s="241" t="s">
        <v>140</v>
      </c>
      <c r="C58" s="208" t="s">
        <v>337</v>
      </c>
      <c r="D58" s="258">
        <f t="shared" si="1"/>
        <v>11.369</v>
      </c>
      <c r="E58" s="237"/>
      <c r="F58" s="237"/>
      <c r="G58" s="239">
        <f>G59+G60</f>
        <v>11.369</v>
      </c>
      <c r="H58" s="255"/>
    </row>
    <row r="59" spans="1:8" ht="51.75" customHeight="1">
      <c r="A59" s="296"/>
      <c r="B59" s="296"/>
      <c r="C59" s="208" t="s">
        <v>340</v>
      </c>
      <c r="D59" s="258">
        <f t="shared" si="1"/>
        <v>5</v>
      </c>
      <c r="E59" s="237"/>
      <c r="F59" s="237"/>
      <c r="G59" s="239">
        <v>5</v>
      </c>
      <c r="H59" s="255"/>
    </row>
    <row r="60" spans="1:8" ht="105.75" customHeight="1">
      <c r="A60" s="240"/>
      <c r="B60" s="241"/>
      <c r="C60" s="208" t="s">
        <v>339</v>
      </c>
      <c r="D60" s="258">
        <f t="shared" si="1"/>
        <v>6.369</v>
      </c>
      <c r="E60" s="237"/>
      <c r="F60" s="237"/>
      <c r="G60" s="239">
        <v>6.369</v>
      </c>
      <c r="H60" s="255"/>
    </row>
    <row r="61" spans="1:8" ht="113.25" customHeight="1">
      <c r="A61" s="240" t="s">
        <v>145</v>
      </c>
      <c r="B61" s="241" t="s">
        <v>146</v>
      </c>
      <c r="C61" s="208" t="s">
        <v>147</v>
      </c>
      <c r="D61" s="258">
        <f t="shared" si="1"/>
        <v>239.2</v>
      </c>
      <c r="E61" s="237"/>
      <c r="F61" s="237"/>
      <c r="G61" s="239">
        <f>200+53.2-14</f>
        <v>239.2</v>
      </c>
      <c r="H61" s="255"/>
    </row>
    <row r="62" spans="1:8" ht="154.5" customHeight="1">
      <c r="A62" s="240" t="s">
        <v>335</v>
      </c>
      <c r="B62" s="241" t="s">
        <v>336</v>
      </c>
      <c r="C62" s="208" t="s">
        <v>182</v>
      </c>
      <c r="D62" s="258">
        <f>G62</f>
        <v>15</v>
      </c>
      <c r="E62" s="237"/>
      <c r="F62" s="237"/>
      <c r="G62" s="239">
        <f>5+10</f>
        <v>15</v>
      </c>
      <c r="H62" s="255"/>
    </row>
    <row r="63" spans="1:8" ht="113.25" customHeight="1">
      <c r="A63" s="240" t="s">
        <v>308</v>
      </c>
      <c r="B63" s="241" t="s">
        <v>309</v>
      </c>
      <c r="C63" s="208" t="s">
        <v>365</v>
      </c>
      <c r="D63" s="258">
        <f>G63</f>
        <v>5.22</v>
      </c>
      <c r="E63" s="237"/>
      <c r="F63" s="237"/>
      <c r="G63" s="239">
        <v>5.22</v>
      </c>
      <c r="H63" s="255"/>
    </row>
    <row r="64" spans="1:8" s="228" customFormat="1" ht="112.5" customHeight="1">
      <c r="A64" s="232" t="s">
        <v>300</v>
      </c>
      <c r="B64" s="229" t="s">
        <v>127</v>
      </c>
      <c r="C64" s="233"/>
      <c r="D64" s="287">
        <f>D65+D66+D77+D82+D84+D93+D94+D107+D108</f>
        <v>15327.36796</v>
      </c>
      <c r="E64" s="234"/>
      <c r="F64" s="225"/>
      <c r="G64" s="287">
        <f>G65+G66+G77+G81+G84+G93+G94+G107+G108</f>
        <v>6033.661470000001</v>
      </c>
      <c r="H64" s="235"/>
    </row>
    <row r="65" spans="1:8" ht="77.25" customHeight="1">
      <c r="A65" s="240" t="s">
        <v>301</v>
      </c>
      <c r="B65" s="241" t="s">
        <v>302</v>
      </c>
      <c r="C65" s="208" t="s">
        <v>172</v>
      </c>
      <c r="D65" s="286">
        <f>G65</f>
        <v>4.99089</v>
      </c>
      <c r="E65" s="256"/>
      <c r="F65" s="237"/>
      <c r="G65" s="286">
        <v>4.99089</v>
      </c>
      <c r="H65" s="302"/>
    </row>
    <row r="66" spans="1:8" ht="77.25" customHeight="1">
      <c r="A66" s="273">
        <v>100102</v>
      </c>
      <c r="B66" s="277" t="s">
        <v>125</v>
      </c>
      <c r="C66" s="276" t="s">
        <v>297</v>
      </c>
      <c r="D66" s="279">
        <f>SUM(D67:D76)</f>
        <v>2239.2348700000002</v>
      </c>
      <c r="E66" s="275"/>
      <c r="F66" s="275"/>
      <c r="G66" s="279">
        <f>SUM(G67:G76)</f>
        <v>2076.34887</v>
      </c>
      <c r="H66" s="255"/>
    </row>
    <row r="67" spans="1:8" ht="48.75" customHeight="1">
      <c r="A67" s="256"/>
      <c r="B67" s="241"/>
      <c r="C67" s="208" t="s">
        <v>342</v>
      </c>
      <c r="D67" s="239">
        <f>G67</f>
        <v>1455.392</v>
      </c>
      <c r="E67" s="237"/>
      <c r="F67" s="237"/>
      <c r="G67" s="239">
        <f>300+400+400+250+105.392</f>
        <v>1455.392</v>
      </c>
      <c r="H67" s="255"/>
    </row>
    <row r="68" spans="1:8" ht="43.5" customHeight="1">
      <c r="A68" s="256"/>
      <c r="B68" s="241"/>
      <c r="C68" s="241" t="s">
        <v>166</v>
      </c>
      <c r="D68" s="239">
        <f>G68</f>
        <v>92.388</v>
      </c>
      <c r="E68" s="237"/>
      <c r="F68" s="237"/>
      <c r="G68" s="239">
        <f>47.78+44.608</f>
        <v>92.388</v>
      </c>
      <c r="H68" s="255"/>
    </row>
    <row r="69" spans="1:8" ht="109.5" customHeight="1">
      <c r="A69" s="256"/>
      <c r="B69" s="241"/>
      <c r="C69" s="241" t="s">
        <v>162</v>
      </c>
      <c r="D69" s="239">
        <f>G69</f>
        <v>174.895</v>
      </c>
      <c r="E69" s="237"/>
      <c r="F69" s="237"/>
      <c r="G69" s="239">
        <f>155+19.895</f>
        <v>174.895</v>
      </c>
      <c r="H69" s="255"/>
    </row>
    <row r="70" spans="1:8" ht="180.75" customHeight="1" hidden="1">
      <c r="A70" s="256"/>
      <c r="B70" s="241"/>
      <c r="C70" s="241" t="s">
        <v>163</v>
      </c>
      <c r="D70" s="239">
        <f>G70</f>
        <v>0</v>
      </c>
      <c r="E70" s="237"/>
      <c r="F70" s="237"/>
      <c r="G70" s="301">
        <f>100-100</f>
        <v>0</v>
      </c>
      <c r="H70" s="255"/>
    </row>
    <row r="71" spans="1:8" ht="214.5" customHeight="1">
      <c r="A71" s="256"/>
      <c r="B71" s="241"/>
      <c r="C71" s="221" t="s">
        <v>191</v>
      </c>
      <c r="D71" s="239">
        <v>100</v>
      </c>
      <c r="E71" s="237"/>
      <c r="F71" s="237"/>
      <c r="G71" s="239">
        <v>97</v>
      </c>
      <c r="H71" s="255"/>
    </row>
    <row r="72" spans="1:8" ht="153.75" customHeight="1">
      <c r="A72" s="256"/>
      <c r="B72" s="241"/>
      <c r="C72" s="221" t="s">
        <v>359</v>
      </c>
      <c r="D72" s="239"/>
      <c r="E72" s="237"/>
      <c r="F72" s="237"/>
      <c r="G72" s="239">
        <v>3</v>
      </c>
      <c r="H72" s="255"/>
    </row>
    <row r="73" spans="1:8" ht="174" customHeight="1">
      <c r="A73" s="256"/>
      <c r="B73" s="241"/>
      <c r="C73" s="208" t="s">
        <v>186</v>
      </c>
      <c r="D73" s="270">
        <f>G73</f>
        <v>12.100000000000001</v>
      </c>
      <c r="E73" s="270"/>
      <c r="F73" s="270"/>
      <c r="G73" s="270">
        <f>7.5+2.3+2.3</f>
        <v>12.100000000000001</v>
      </c>
      <c r="H73" s="255"/>
    </row>
    <row r="74" spans="1:8" ht="79.5" customHeight="1">
      <c r="A74" s="256"/>
      <c r="B74" s="241"/>
      <c r="C74" s="208" t="s">
        <v>199</v>
      </c>
      <c r="D74" s="323">
        <v>391.886</v>
      </c>
      <c r="E74" s="270"/>
      <c r="F74" s="270">
        <v>162.886</v>
      </c>
      <c r="G74" s="270">
        <f>100+124+5</f>
        <v>229</v>
      </c>
      <c r="H74" s="255"/>
    </row>
    <row r="75" spans="1:8" ht="183" customHeight="1">
      <c r="A75" s="256"/>
      <c r="B75" s="241"/>
      <c r="C75" s="241" t="s">
        <v>167</v>
      </c>
      <c r="D75" s="286">
        <f>G75</f>
        <v>12.57387</v>
      </c>
      <c r="E75" s="237"/>
      <c r="F75" s="237"/>
      <c r="G75" s="286">
        <v>12.57387</v>
      </c>
      <c r="H75" s="255"/>
    </row>
    <row r="76" spans="1:8" ht="115.5" customHeight="1" hidden="1">
      <c r="A76" s="256"/>
      <c r="B76" s="241"/>
      <c r="C76" s="208" t="s">
        <v>343</v>
      </c>
      <c r="D76" s="239">
        <f>G76</f>
        <v>0</v>
      </c>
      <c r="E76" s="239"/>
      <c r="F76" s="239"/>
      <c r="G76" s="239">
        <f>5-5</f>
        <v>0</v>
      </c>
      <c r="H76" s="255"/>
    </row>
    <row r="77" spans="1:8" ht="52.5" customHeight="1">
      <c r="A77" s="273">
        <v>100201</v>
      </c>
      <c r="B77" s="277" t="s">
        <v>128</v>
      </c>
      <c r="C77" s="276" t="s">
        <v>297</v>
      </c>
      <c r="D77" s="294">
        <f>SUM(D78:D80)</f>
        <v>1355.8</v>
      </c>
      <c r="E77" s="280"/>
      <c r="F77" s="295"/>
      <c r="G77" s="294">
        <f>SUM(G78:G80)</f>
        <v>650.69884</v>
      </c>
      <c r="H77" s="255"/>
    </row>
    <row r="78" spans="1:8" ht="189" customHeight="1">
      <c r="A78" s="256"/>
      <c r="B78" s="241"/>
      <c r="C78" s="262" t="s">
        <v>181</v>
      </c>
      <c r="D78" s="238">
        <v>992.8</v>
      </c>
      <c r="E78" s="238">
        <v>63</v>
      </c>
      <c r="F78" s="238">
        <f>367.4+100-7.3</f>
        <v>460.09999999999997</v>
      </c>
      <c r="G78" s="285">
        <f>328+99.99884-7.3</f>
        <v>420.69883999999996</v>
      </c>
      <c r="H78" s="255"/>
    </row>
    <row r="79" spans="1:8" ht="69" customHeight="1">
      <c r="A79" s="256"/>
      <c r="B79" s="241"/>
      <c r="C79" s="262" t="s">
        <v>150</v>
      </c>
      <c r="D79" s="270">
        <f>G79</f>
        <v>170</v>
      </c>
      <c r="E79" s="270"/>
      <c r="F79" s="270"/>
      <c r="G79" s="270">
        <f>300-30-100</f>
        <v>170</v>
      </c>
      <c r="H79" s="255"/>
    </row>
    <row r="80" spans="1:8" ht="105.75" customHeight="1">
      <c r="A80" s="256"/>
      <c r="B80" s="241"/>
      <c r="C80" s="262" t="s">
        <v>164</v>
      </c>
      <c r="D80" s="270">
        <v>193</v>
      </c>
      <c r="E80" s="270"/>
      <c r="F80" s="270">
        <f>D80-G80</f>
        <v>133</v>
      </c>
      <c r="G80" s="270">
        <f>193-133</f>
        <v>60</v>
      </c>
      <c r="H80" s="255"/>
    </row>
    <row r="81" spans="1:8" ht="93" customHeight="1">
      <c r="A81" s="315" t="s">
        <v>310</v>
      </c>
      <c r="B81" s="316" t="s">
        <v>311</v>
      </c>
      <c r="C81" s="316" t="s">
        <v>297</v>
      </c>
      <c r="D81" s="317">
        <f>D82+D83</f>
        <v>1272.1</v>
      </c>
      <c r="E81" s="314"/>
      <c r="F81" s="318">
        <f>F82+F83</f>
        <v>402.2399999999999</v>
      </c>
      <c r="G81" s="317">
        <f>G82+G83</f>
        <v>869.86</v>
      </c>
      <c r="H81" s="255"/>
    </row>
    <row r="82" spans="1:8" ht="185.25" customHeight="1">
      <c r="A82" s="310"/>
      <c r="B82" s="311"/>
      <c r="C82" s="311" t="s">
        <v>154</v>
      </c>
      <c r="D82" s="312">
        <v>1139.1</v>
      </c>
      <c r="E82" s="313"/>
      <c r="F82" s="313">
        <f>D82-G82</f>
        <v>402.2399999999999</v>
      </c>
      <c r="G82" s="312">
        <f>800-55-8.14</f>
        <v>736.86</v>
      </c>
      <c r="H82" s="255"/>
    </row>
    <row r="83" spans="1:8" ht="111.75" customHeight="1">
      <c r="A83" s="310"/>
      <c r="B83" s="311"/>
      <c r="C83" s="311" t="s">
        <v>362</v>
      </c>
      <c r="D83" s="312">
        <f>G83</f>
        <v>133</v>
      </c>
      <c r="E83" s="313"/>
      <c r="F83" s="313"/>
      <c r="G83" s="312">
        <v>133</v>
      </c>
      <c r="H83" s="255"/>
    </row>
    <row r="84" spans="1:8" ht="56.25" customHeight="1">
      <c r="A84" s="273">
        <v>100203</v>
      </c>
      <c r="B84" s="277" t="s">
        <v>295</v>
      </c>
      <c r="C84" s="276" t="s">
        <v>297</v>
      </c>
      <c r="D84" s="278">
        <f>SUM(D86:D92)</f>
        <v>517.2049999999999</v>
      </c>
      <c r="E84" s="275"/>
      <c r="F84" s="275"/>
      <c r="G84" s="278">
        <f>SUM(G86:G92)</f>
        <v>517.2049999999999</v>
      </c>
      <c r="H84" s="255"/>
    </row>
    <row r="85" spans="1:8" ht="195" customHeight="1" hidden="1">
      <c r="A85" s="256"/>
      <c r="B85" s="241"/>
      <c r="C85" s="208" t="s">
        <v>131</v>
      </c>
      <c r="D85" s="237">
        <v>0</v>
      </c>
      <c r="E85" s="237"/>
      <c r="F85" s="237"/>
      <c r="G85" s="237">
        <v>0</v>
      </c>
      <c r="H85" s="255"/>
    </row>
    <row r="86" spans="1:8" ht="79.5" customHeight="1">
      <c r="A86" s="256"/>
      <c r="B86" s="241"/>
      <c r="C86" s="208" t="s">
        <v>188</v>
      </c>
      <c r="D86" s="237">
        <v>19.4</v>
      </c>
      <c r="E86" s="237"/>
      <c r="F86" s="237"/>
      <c r="G86" s="239">
        <v>19.4</v>
      </c>
      <c r="H86" s="255"/>
    </row>
    <row r="87" spans="1:8" ht="82.5" customHeight="1">
      <c r="A87" s="256"/>
      <c r="B87" s="241"/>
      <c r="C87" s="208" t="s">
        <v>189</v>
      </c>
      <c r="D87" s="237">
        <v>130</v>
      </c>
      <c r="E87" s="237"/>
      <c r="F87" s="237"/>
      <c r="G87" s="239">
        <v>130</v>
      </c>
      <c r="H87" s="255"/>
    </row>
    <row r="88" spans="1:8" ht="187.5" customHeight="1">
      <c r="A88" s="256"/>
      <c r="B88" s="241"/>
      <c r="C88" s="208" t="s">
        <v>187</v>
      </c>
      <c r="D88" s="237">
        <v>255</v>
      </c>
      <c r="E88" s="237"/>
      <c r="F88" s="237"/>
      <c r="G88" s="239">
        <v>247.35</v>
      </c>
      <c r="H88" s="255"/>
    </row>
    <row r="89" spans="1:8" ht="98.25" customHeight="1">
      <c r="A89" s="256"/>
      <c r="B89" s="241"/>
      <c r="C89" s="208" t="s">
        <v>360</v>
      </c>
      <c r="D89" s="237"/>
      <c r="E89" s="237"/>
      <c r="F89" s="237"/>
      <c r="G89" s="239">
        <v>7.65</v>
      </c>
      <c r="H89" s="255"/>
    </row>
    <row r="90" spans="1:8" ht="138.75" customHeight="1">
      <c r="A90" s="256"/>
      <c r="B90" s="241"/>
      <c r="C90" s="208" t="s">
        <v>158</v>
      </c>
      <c r="D90" s="237">
        <f>G90</f>
        <v>17.7</v>
      </c>
      <c r="E90" s="237"/>
      <c r="F90" s="237"/>
      <c r="G90" s="239">
        <f>20-2.3</f>
        <v>17.7</v>
      </c>
      <c r="H90" s="255"/>
    </row>
    <row r="91" spans="1:8" ht="1.5" customHeight="1">
      <c r="A91" s="256"/>
      <c r="B91" s="241"/>
      <c r="C91" s="208" t="s">
        <v>194</v>
      </c>
      <c r="D91" s="237">
        <f>G91</f>
        <v>0</v>
      </c>
      <c r="E91" s="237"/>
      <c r="F91" s="237"/>
      <c r="G91" s="239">
        <f>50+30-80</f>
        <v>0</v>
      </c>
      <c r="H91" s="255"/>
    </row>
    <row r="92" spans="1:8" ht="114.75" customHeight="1">
      <c r="A92" s="256"/>
      <c r="B92" s="241"/>
      <c r="C92" s="208" t="s">
        <v>165</v>
      </c>
      <c r="D92" s="237">
        <f>115-19.895</f>
        <v>95.105</v>
      </c>
      <c r="E92" s="237"/>
      <c r="F92" s="237"/>
      <c r="G92" s="239">
        <f>115-19.895</f>
        <v>95.105</v>
      </c>
      <c r="H92" s="255"/>
    </row>
    <row r="93" spans="1:8" ht="146.25" customHeight="1">
      <c r="A93" s="256">
        <v>100208</v>
      </c>
      <c r="B93" s="241" t="s">
        <v>324</v>
      </c>
      <c r="C93" s="208" t="s">
        <v>325</v>
      </c>
      <c r="D93" s="237">
        <v>72.4</v>
      </c>
      <c r="E93" s="237">
        <v>30</v>
      </c>
      <c r="F93" s="237">
        <v>50.6</v>
      </c>
      <c r="G93" s="286">
        <v>50.56254</v>
      </c>
      <c r="H93" s="255"/>
    </row>
    <row r="94" spans="1:8" ht="49.5" customHeight="1">
      <c r="A94" s="273">
        <v>150101</v>
      </c>
      <c r="B94" s="274" t="s">
        <v>285</v>
      </c>
      <c r="C94" s="276" t="s">
        <v>297</v>
      </c>
      <c r="D94" s="275">
        <f>SUM(D95:D106)</f>
        <v>8681.6672</v>
      </c>
      <c r="E94" s="275"/>
      <c r="F94" s="279"/>
      <c r="G94" s="279">
        <f>SUM(G95:G106)</f>
        <v>1286.22986</v>
      </c>
      <c r="H94" s="255"/>
    </row>
    <row r="95" spans="1:8" ht="144.75" customHeight="1">
      <c r="A95" s="256"/>
      <c r="B95" s="257"/>
      <c r="C95" s="208" t="s">
        <v>326</v>
      </c>
      <c r="D95" s="237">
        <v>2061.79</v>
      </c>
      <c r="E95" s="237">
        <v>62.4</v>
      </c>
      <c r="F95" s="237">
        <v>775</v>
      </c>
      <c r="G95" s="286">
        <f>500+273.53271-20-200</f>
        <v>553.53271</v>
      </c>
      <c r="H95" s="255"/>
    </row>
    <row r="96" spans="1:8" ht="75" customHeight="1">
      <c r="A96" s="256"/>
      <c r="B96" s="257"/>
      <c r="C96" s="208" t="s">
        <v>161</v>
      </c>
      <c r="D96" s="237">
        <v>1112.1</v>
      </c>
      <c r="E96" s="237">
        <v>7.1</v>
      </c>
      <c r="F96" s="237">
        <v>1032.8</v>
      </c>
      <c r="G96" s="239">
        <v>100</v>
      </c>
      <c r="H96" s="255"/>
    </row>
    <row r="97" spans="1:8" ht="358.5" customHeight="1">
      <c r="A97" s="256"/>
      <c r="B97" s="257"/>
      <c r="C97" s="208" t="s">
        <v>328</v>
      </c>
      <c r="D97" s="237">
        <v>4100</v>
      </c>
      <c r="E97" s="237">
        <v>3</v>
      </c>
      <c r="F97" s="237">
        <v>3977</v>
      </c>
      <c r="G97" s="286">
        <f>20+9.71442+66.2-15-3</f>
        <v>77.91442</v>
      </c>
      <c r="H97" s="255"/>
    </row>
    <row r="98" spans="1:8" ht="228.75" customHeight="1">
      <c r="A98" s="256"/>
      <c r="B98" s="241"/>
      <c r="C98" s="208" t="s">
        <v>368</v>
      </c>
      <c r="D98" s="237">
        <v>364.1</v>
      </c>
      <c r="E98" s="237"/>
      <c r="F98" s="237">
        <f>D98-G98</f>
        <v>64.10000000000002</v>
      </c>
      <c r="G98" s="239">
        <f>287.18+12.82</f>
        <v>300</v>
      </c>
      <c r="H98" s="255"/>
    </row>
    <row r="99" spans="1:8" ht="262.5" customHeight="1">
      <c r="A99" s="256"/>
      <c r="B99" s="241"/>
      <c r="C99" s="208" t="s">
        <v>190</v>
      </c>
      <c r="D99" s="237"/>
      <c r="E99" s="237"/>
      <c r="F99" s="237"/>
      <c r="G99" s="237">
        <v>64</v>
      </c>
      <c r="H99" s="255"/>
    </row>
    <row r="100" spans="1:8" ht="180.75" customHeight="1">
      <c r="A100" s="256"/>
      <c r="B100" s="257"/>
      <c r="C100" s="208" t="s">
        <v>132</v>
      </c>
      <c r="D100" s="237">
        <v>754.3</v>
      </c>
      <c r="E100" s="237">
        <v>85.6</v>
      </c>
      <c r="F100" s="237">
        <v>108.5</v>
      </c>
      <c r="G100" s="239">
        <f>108.5-7.65</f>
        <v>100.85</v>
      </c>
      <c r="H100" s="255"/>
    </row>
    <row r="101" spans="1:8" ht="227.25" customHeight="1">
      <c r="A101" s="256"/>
      <c r="B101" s="257"/>
      <c r="C101" s="208" t="s">
        <v>327</v>
      </c>
      <c r="D101" s="237">
        <v>277.1</v>
      </c>
      <c r="E101" s="237">
        <v>62.8</v>
      </c>
      <c r="F101" s="237">
        <v>103.1</v>
      </c>
      <c r="G101" s="286">
        <f>65+38.09153-14.81-2.626-8</f>
        <v>77.65553</v>
      </c>
      <c r="H101" s="255"/>
    </row>
    <row r="102" spans="1:8" ht="143.25" customHeight="1" hidden="1">
      <c r="A102" s="256"/>
      <c r="B102" s="257"/>
      <c r="C102" s="208" t="s">
        <v>142</v>
      </c>
      <c r="D102" s="237">
        <f>G102</f>
        <v>0</v>
      </c>
      <c r="E102" s="237"/>
      <c r="F102" s="237"/>
      <c r="G102" s="237">
        <f>12-12</f>
        <v>0</v>
      </c>
      <c r="H102" s="255"/>
    </row>
    <row r="103" spans="1:8" ht="1.5" customHeight="1" hidden="1">
      <c r="A103" s="256"/>
      <c r="B103" s="257"/>
      <c r="C103" s="208" t="s">
        <v>317</v>
      </c>
      <c r="D103" s="237">
        <v>0</v>
      </c>
      <c r="E103" s="237"/>
      <c r="F103" s="237"/>
      <c r="G103" s="237">
        <v>0</v>
      </c>
      <c r="H103" s="255"/>
    </row>
    <row r="104" spans="1:8" ht="117.75" customHeight="1" hidden="1">
      <c r="A104" s="256"/>
      <c r="B104" s="257"/>
      <c r="C104" s="208" t="s">
        <v>133</v>
      </c>
      <c r="D104" s="237"/>
      <c r="E104" s="237"/>
      <c r="F104" s="237"/>
      <c r="G104" s="237"/>
      <c r="H104" s="255"/>
    </row>
    <row r="105" spans="1:8" ht="117.75" customHeight="1">
      <c r="A105" s="256"/>
      <c r="B105" s="257"/>
      <c r="C105" s="208" t="s">
        <v>168</v>
      </c>
      <c r="D105" s="286">
        <f>G105</f>
        <v>4.56127</v>
      </c>
      <c r="E105" s="237"/>
      <c r="F105" s="237"/>
      <c r="G105" s="286">
        <v>4.56127</v>
      </c>
      <c r="H105" s="255"/>
    </row>
    <row r="106" spans="1:8" ht="281.25" customHeight="1">
      <c r="A106" s="256"/>
      <c r="B106" s="257"/>
      <c r="C106" s="208" t="s">
        <v>185</v>
      </c>
      <c r="D106" s="286">
        <f>G106</f>
        <v>7.71593</v>
      </c>
      <c r="E106" s="237"/>
      <c r="F106" s="237"/>
      <c r="G106" s="286">
        <f>2.40593+5.31</f>
        <v>7.71593</v>
      </c>
      <c r="H106" s="255"/>
    </row>
    <row r="107" spans="1:8" ht="185.25" customHeight="1">
      <c r="A107" s="273">
        <v>150110</v>
      </c>
      <c r="B107" s="274" t="s">
        <v>159</v>
      </c>
      <c r="C107" s="276" t="s">
        <v>160</v>
      </c>
      <c r="D107" s="278">
        <v>130</v>
      </c>
      <c r="E107" s="275"/>
      <c r="F107" s="275">
        <v>127.4</v>
      </c>
      <c r="G107" s="297">
        <f>2.626-2</f>
        <v>0.6259999999999999</v>
      </c>
      <c r="H107" s="255"/>
    </row>
    <row r="108" spans="1:8" ht="81" customHeight="1">
      <c r="A108" s="281" t="s">
        <v>296</v>
      </c>
      <c r="B108" s="276" t="s">
        <v>126</v>
      </c>
      <c r="C108" s="276" t="s">
        <v>297</v>
      </c>
      <c r="D108" s="278">
        <f>SUM(D109:D112)</f>
        <v>1186.97</v>
      </c>
      <c r="E108" s="275"/>
      <c r="F108" s="275"/>
      <c r="G108" s="279">
        <f>SUM(G109:G112)</f>
        <v>577.13947</v>
      </c>
      <c r="H108" s="255"/>
    </row>
    <row r="109" spans="1:8" ht="75" customHeight="1">
      <c r="A109" s="259"/>
      <c r="B109" s="208"/>
      <c r="C109" s="208" t="s">
        <v>193</v>
      </c>
      <c r="D109" s="237">
        <f>G109</f>
        <v>30</v>
      </c>
      <c r="E109" s="237"/>
      <c r="F109" s="237"/>
      <c r="G109" s="237">
        <f>60-30</f>
        <v>30</v>
      </c>
      <c r="H109" s="255"/>
    </row>
    <row r="110" spans="1:8" ht="117" customHeight="1">
      <c r="A110" s="259"/>
      <c r="B110" s="208"/>
      <c r="C110" s="208" t="s">
        <v>361</v>
      </c>
      <c r="D110" s="239">
        <f>G110</f>
        <v>44</v>
      </c>
      <c r="E110" s="239"/>
      <c r="F110" s="239"/>
      <c r="G110" s="239">
        <v>44</v>
      </c>
      <c r="H110" s="255"/>
    </row>
    <row r="111" spans="1:8" ht="254.25" customHeight="1">
      <c r="A111" s="259"/>
      <c r="B111" s="208"/>
      <c r="C111" s="208" t="s">
        <v>180</v>
      </c>
      <c r="D111" s="237">
        <v>983.5</v>
      </c>
      <c r="E111" s="237">
        <v>16.7</v>
      </c>
      <c r="F111" s="237">
        <v>819.3</v>
      </c>
      <c r="G111" s="286">
        <f>277.66947+43+88-88+53</f>
        <v>373.66947</v>
      </c>
      <c r="H111" s="255"/>
    </row>
    <row r="112" spans="1:8" ht="137.25" customHeight="1">
      <c r="A112" s="259"/>
      <c r="B112" s="208"/>
      <c r="C112" s="208" t="s">
        <v>170</v>
      </c>
      <c r="D112" s="239">
        <f aca="true" t="shared" si="2" ref="D112:D119">G112</f>
        <v>129.47</v>
      </c>
      <c r="E112" s="237"/>
      <c r="F112" s="237"/>
      <c r="G112" s="239">
        <v>129.47</v>
      </c>
      <c r="H112" s="255"/>
    </row>
    <row r="113" spans="1:8" s="228" customFormat="1" ht="186" customHeight="1">
      <c r="A113" s="232" t="s">
        <v>313</v>
      </c>
      <c r="B113" s="229" t="s">
        <v>312</v>
      </c>
      <c r="C113" s="229"/>
      <c r="D113" s="300">
        <f>G113</f>
        <v>91.39</v>
      </c>
      <c r="E113" s="225"/>
      <c r="F113" s="225"/>
      <c r="G113" s="300">
        <f>G118+G117+G119+G120+G114</f>
        <v>91.39</v>
      </c>
      <c r="H113" s="227"/>
    </row>
    <row r="114" spans="1:8" s="228" customFormat="1" ht="79.5" customHeight="1">
      <c r="A114" s="240" t="s">
        <v>301</v>
      </c>
      <c r="B114" s="241" t="s">
        <v>302</v>
      </c>
      <c r="C114" s="208" t="s">
        <v>297</v>
      </c>
      <c r="D114" s="237">
        <f t="shared" si="2"/>
        <v>13.7</v>
      </c>
      <c r="E114" s="237">
        <f>SUM(E115:E116)</f>
        <v>0</v>
      </c>
      <c r="F114" s="237">
        <f>SUM(F115:F116)</f>
        <v>0</v>
      </c>
      <c r="G114" s="237">
        <f>SUM(G115:G116)</f>
        <v>13.7</v>
      </c>
      <c r="H114" s="227"/>
    </row>
    <row r="115" spans="1:8" s="228" customFormat="1" ht="79.5" customHeight="1">
      <c r="A115" s="240"/>
      <c r="B115" s="241"/>
      <c r="C115" s="208" t="s">
        <v>352</v>
      </c>
      <c r="D115" s="237">
        <f t="shared" si="2"/>
        <v>12.5</v>
      </c>
      <c r="E115" s="237"/>
      <c r="F115" s="237"/>
      <c r="G115" s="237">
        <f>8.5+4</f>
        <v>12.5</v>
      </c>
      <c r="H115" s="227"/>
    </row>
    <row r="116" spans="1:8" s="228" customFormat="1" ht="78.75" customHeight="1">
      <c r="A116" s="240"/>
      <c r="B116" s="241"/>
      <c r="C116" s="208" t="s">
        <v>192</v>
      </c>
      <c r="D116" s="237">
        <f t="shared" si="2"/>
        <v>1.2</v>
      </c>
      <c r="E116" s="237"/>
      <c r="F116" s="237"/>
      <c r="G116" s="237">
        <v>1.2</v>
      </c>
      <c r="H116" s="227"/>
    </row>
    <row r="117" spans="1:8" ht="69" customHeight="1" hidden="1">
      <c r="A117" s="259" t="s">
        <v>151</v>
      </c>
      <c r="B117" s="208" t="s">
        <v>152</v>
      </c>
      <c r="C117" s="208" t="s">
        <v>153</v>
      </c>
      <c r="D117" s="237"/>
      <c r="E117" s="237"/>
      <c r="F117" s="237"/>
      <c r="G117" s="299"/>
      <c r="H117" s="255"/>
    </row>
    <row r="118" spans="1:8" ht="108.75" customHeight="1">
      <c r="A118" s="259" t="s">
        <v>314</v>
      </c>
      <c r="B118" s="208" t="s">
        <v>315</v>
      </c>
      <c r="C118" s="208" t="s">
        <v>148</v>
      </c>
      <c r="D118" s="237">
        <f t="shared" si="2"/>
        <v>21.5</v>
      </c>
      <c r="E118" s="237"/>
      <c r="F118" s="237"/>
      <c r="G118" s="299">
        <f>35.5-14</f>
        <v>21.5</v>
      </c>
      <c r="H118" s="255"/>
    </row>
    <row r="119" spans="1:8" ht="82.5" customHeight="1">
      <c r="A119" s="259" t="s">
        <v>155</v>
      </c>
      <c r="B119" s="208" t="s">
        <v>157</v>
      </c>
      <c r="C119" s="208" t="s">
        <v>156</v>
      </c>
      <c r="D119" s="237">
        <f t="shared" si="2"/>
        <v>3.5</v>
      </c>
      <c r="E119" s="237"/>
      <c r="F119" s="237"/>
      <c r="G119" s="299">
        <v>3.5</v>
      </c>
      <c r="H119" s="255"/>
    </row>
    <row r="120" spans="1:8" ht="197.25" customHeight="1">
      <c r="A120" s="259" t="s">
        <v>183</v>
      </c>
      <c r="B120" s="208" t="s">
        <v>184</v>
      </c>
      <c r="C120" s="208" t="s">
        <v>357</v>
      </c>
      <c r="D120" s="299">
        <f>D121+D122</f>
        <v>52.69</v>
      </c>
      <c r="E120" s="237"/>
      <c r="F120" s="237"/>
      <c r="G120" s="299">
        <f>G121+G122</f>
        <v>52.69</v>
      </c>
      <c r="H120" s="255"/>
    </row>
    <row r="121" spans="1:8" ht="202.5" customHeight="1">
      <c r="A121" s="259"/>
      <c r="B121" s="208"/>
      <c r="C121" s="208" t="s">
        <v>367</v>
      </c>
      <c r="D121" s="299">
        <f>G121</f>
        <v>38.69</v>
      </c>
      <c r="E121" s="237"/>
      <c r="F121" s="237"/>
      <c r="G121" s="299">
        <f>3.69+35</f>
        <v>38.69</v>
      </c>
      <c r="H121" s="255"/>
    </row>
    <row r="122" spans="1:8" ht="165.75" customHeight="1">
      <c r="A122" s="259"/>
      <c r="B122" s="208"/>
      <c r="C122" s="208" t="s">
        <v>358</v>
      </c>
      <c r="D122" s="299">
        <f>G122</f>
        <v>14</v>
      </c>
      <c r="E122" s="237"/>
      <c r="F122" s="237"/>
      <c r="G122" s="299">
        <v>14</v>
      </c>
      <c r="H122" s="255"/>
    </row>
    <row r="123" spans="1:8" s="283" customFormat="1" ht="74.25" customHeight="1">
      <c r="A123" s="232" t="s">
        <v>143</v>
      </c>
      <c r="B123" s="229" t="s">
        <v>144</v>
      </c>
      <c r="C123" s="229"/>
      <c r="D123" s="230">
        <f>D124</f>
        <v>31.434</v>
      </c>
      <c r="E123" s="225"/>
      <c r="F123" s="225"/>
      <c r="G123" s="230">
        <f>G124</f>
        <v>31.434</v>
      </c>
      <c r="H123" s="282"/>
    </row>
    <row r="124" spans="1:8" s="283" customFormat="1" ht="120.75" customHeight="1">
      <c r="A124" s="240" t="s">
        <v>301</v>
      </c>
      <c r="B124" s="241" t="s">
        <v>302</v>
      </c>
      <c r="C124" s="208" t="s">
        <v>200</v>
      </c>
      <c r="D124" s="239">
        <f>G124</f>
        <v>31.434</v>
      </c>
      <c r="E124" s="237"/>
      <c r="F124" s="237"/>
      <c r="G124" s="239">
        <f>13+18.434</f>
        <v>31.434</v>
      </c>
      <c r="H124" s="282"/>
    </row>
    <row r="125" spans="1:8" s="269" customFormat="1" ht="53.25" customHeight="1">
      <c r="A125" s="263"/>
      <c r="B125" s="264"/>
      <c r="C125" s="265" t="s">
        <v>273</v>
      </c>
      <c r="D125" s="267">
        <f>D123+D113+D64+D53+D42+D24+D17+D38</f>
        <v>19870.795</v>
      </c>
      <c r="E125" s="266"/>
      <c r="F125" s="284">
        <f>F123+F113+F64+F53+F42+F24+F17</f>
        <v>0</v>
      </c>
      <c r="G125" s="267">
        <f>G123+G113+G64+G53+G42+G24+G17+G38</f>
        <v>10313.308509999999</v>
      </c>
      <c r="H125" s="268"/>
    </row>
    <row r="126" spans="1:5" ht="23.25" customHeight="1">
      <c r="A126" s="361"/>
      <c r="B126" s="361"/>
      <c r="C126" s="361"/>
      <c r="D126" s="361"/>
      <c r="E126" s="361"/>
    </row>
    <row r="127" spans="1:7" s="260" customFormat="1" ht="91.5" customHeight="1">
      <c r="A127" s="360" t="s">
        <v>298</v>
      </c>
      <c r="B127" s="360"/>
      <c r="C127" s="360"/>
      <c r="D127" s="360"/>
      <c r="E127" s="360"/>
      <c r="F127" s="333" t="s">
        <v>316</v>
      </c>
      <c r="G127" s="333"/>
    </row>
    <row r="128" spans="3:8" ht="34.5">
      <c r="C128" s="261"/>
      <c r="H128" s="249"/>
    </row>
    <row r="130" ht="34.5">
      <c r="C130" s="249"/>
    </row>
    <row r="131" spans="3:7" ht="34.5">
      <c r="C131" s="249"/>
      <c r="G131" s="308"/>
    </row>
  </sheetData>
  <sheetProtection/>
  <mergeCells count="14">
    <mergeCell ref="A11:G11"/>
    <mergeCell ref="A1:C1"/>
    <mergeCell ref="A10:G10"/>
    <mergeCell ref="F14:F15"/>
    <mergeCell ref="D1:G1"/>
    <mergeCell ref="D2:G2"/>
    <mergeCell ref="D3:G3"/>
    <mergeCell ref="F127:G127"/>
    <mergeCell ref="G14:G15"/>
    <mergeCell ref="A127:E127"/>
    <mergeCell ref="A126:E126"/>
    <mergeCell ref="C14:C15"/>
    <mergeCell ref="D14:D15"/>
    <mergeCell ref="E14:E15"/>
  </mergeCells>
  <printOptions/>
  <pageMargins left="1.3779527559055118" right="0.3937007874015748" top="0.7874015748031497" bottom="0.3937007874015748" header="0" footer="0"/>
  <pageSetup blackAndWhite="1" fitToHeight="6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1</cp:lastModifiedBy>
  <cp:lastPrinted>2013-09-03T06:35:26Z</cp:lastPrinted>
  <dcterms:created xsi:type="dcterms:W3CDTF">2003-02-27T09:26:31Z</dcterms:created>
  <dcterms:modified xsi:type="dcterms:W3CDTF">2013-11-04T11:39:09Z</dcterms:modified>
  <cp:category/>
  <cp:version/>
  <cp:contentType/>
  <cp:contentStatus/>
</cp:coreProperties>
</file>